
<file path=[Content_Types].xml><?xml version="1.0" encoding="utf-8"?>
<Types xmlns="http://schemas.openxmlformats.org/package/2006/content-types"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drawings/drawing2.xml" ContentType="application/vnd.openxmlformats-officedocument.drawing+xml"/>
  <Override PartName="/xl/ctrlProps/ctrlProp6.xml" ContentType="application/vnd.ms-excel.controlproperties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3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C:\Users\alexscott\Desktop\"/>
    </mc:Choice>
  </mc:AlternateContent>
  <xr:revisionPtr revIDLastSave="0" documentId="8_{DF020579-1144-44DF-AD2C-CDECE6DF1BA7}" xr6:coauthVersionLast="47" xr6:coauthVersionMax="47" xr10:uidLastSave="{00000000-0000-0000-0000-000000000000}"/>
  <bookViews>
    <workbookView xWindow="-110" yWindow="-110" windowWidth="19420" windowHeight="10420" xr2:uid="{63A0DC34-CA53-BB4F-B6BC-0E036EC6D7D5}"/>
  </bookViews>
  <sheets>
    <sheet name="Input" sheetId="1" r:id="rId1"/>
    <sheet name="Output" sheetId="4" r:id="rId2"/>
    <sheet name="Calculations" sheetId="6" r:id="rId3"/>
    <sheet name="Description of calculations" sheetId="5" r:id="rId4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J37" i="1" l="1"/>
  <c r="J36" i="1"/>
  <c r="J35" i="1"/>
  <c r="I38" i="1"/>
  <c r="I37" i="1"/>
  <c r="I35" i="1"/>
  <c r="I36" i="1"/>
  <c r="H35" i="1"/>
  <c r="H36" i="1"/>
  <c r="H37" i="1"/>
  <c r="H38" i="1"/>
  <c r="I9" i="6"/>
  <c r="I8" i="6"/>
  <c r="I7" i="6"/>
  <c r="B17" i="1"/>
  <c r="A20" i="6"/>
  <c r="A21" i="6" s="1"/>
  <c r="A22" i="6" s="1"/>
  <c r="A23" i="6" s="1"/>
  <c r="A24" i="6" s="1"/>
  <c r="A25" i="6" s="1"/>
  <c r="A26" i="6" s="1"/>
  <c r="A27" i="6" s="1"/>
  <c r="A28" i="6" s="1"/>
  <c r="A29" i="6" s="1"/>
  <c r="A30" i="6" s="1"/>
  <c r="A31" i="6" s="1"/>
  <c r="A32" i="6" s="1"/>
  <c r="A33" i="6" s="1"/>
  <c r="A34" i="6" s="1"/>
  <c r="A35" i="6" s="1"/>
  <c r="A36" i="6" s="1"/>
  <c r="A37" i="6" s="1"/>
  <c r="A38" i="6" s="1"/>
  <c r="A39" i="6" s="1"/>
  <c r="A40" i="6" s="1"/>
  <c r="A41" i="6" s="1"/>
  <c r="A42" i="6" s="1"/>
  <c r="A43" i="6" s="1"/>
  <c r="A44" i="6" s="1"/>
  <c r="A45" i="6" s="1"/>
  <c r="A46" i="6" s="1"/>
  <c r="A47" i="6" s="1"/>
  <c r="A48" i="6" s="1"/>
  <c r="A49" i="6" s="1"/>
  <c r="A50" i="6" s="1"/>
  <c r="A51" i="6" s="1"/>
  <c r="A52" i="6" s="1"/>
  <c r="A53" i="6" s="1"/>
  <c r="A54" i="6" s="1"/>
  <c r="A55" i="6" s="1"/>
  <c r="A56" i="6" s="1"/>
  <c r="A57" i="6" s="1"/>
  <c r="A58" i="6" s="1"/>
  <c r="A59" i="6" s="1"/>
  <c r="A60" i="6" s="1"/>
  <c r="A61" i="6" s="1"/>
  <c r="A62" i="6" s="1"/>
  <c r="A63" i="6" s="1"/>
  <c r="A64" i="6" s="1"/>
  <c r="A65" i="6" s="1"/>
  <c r="A66" i="6" s="1"/>
  <c r="A67" i="6" s="1"/>
  <c r="A68" i="6" s="1"/>
  <c r="A69" i="6" s="1"/>
  <c r="A70" i="6" s="1"/>
  <c r="A71" i="6" s="1"/>
  <c r="A72" i="6" s="1"/>
  <c r="A73" i="6" s="1"/>
  <c r="A74" i="6" s="1"/>
  <c r="A75" i="6" s="1"/>
  <c r="A76" i="6" s="1"/>
  <c r="A77" i="6" s="1"/>
  <c r="A78" i="6" s="1"/>
  <c r="A79" i="6" s="1"/>
  <c r="A80" i="6" s="1"/>
  <c r="A81" i="6" s="1"/>
  <c r="A82" i="6" s="1"/>
  <c r="A83" i="6" s="1"/>
  <c r="A84" i="6" s="1"/>
  <c r="A85" i="6" s="1"/>
  <c r="A86" i="6" s="1"/>
  <c r="A87" i="6" s="1"/>
  <c r="A88" i="6" s="1"/>
  <c r="A89" i="6" s="1"/>
  <c r="A90" i="6" s="1"/>
  <c r="A91" i="6" s="1"/>
  <c r="A92" i="6" s="1"/>
  <c r="A93" i="6" s="1"/>
  <c r="A94" i="6" s="1"/>
  <c r="A95" i="6" s="1"/>
  <c r="A96" i="6" s="1"/>
  <c r="A97" i="6" s="1"/>
  <c r="A98" i="6" s="1"/>
  <c r="A99" i="6" s="1"/>
  <c r="A100" i="6" s="1"/>
  <c r="A101" i="6" s="1"/>
  <c r="A102" i="6" s="1"/>
  <c r="A103" i="6" s="1"/>
  <c r="A104" i="6" s="1"/>
  <c r="A105" i="6" s="1"/>
  <c r="A106" i="6" s="1"/>
  <c r="A107" i="6" s="1"/>
  <c r="A108" i="6" s="1"/>
  <c r="A109" i="6" s="1"/>
  <c r="A110" i="6" s="1"/>
  <c r="A111" i="6" s="1"/>
  <c r="A112" i="6" s="1"/>
  <c r="A113" i="6" s="1"/>
  <c r="A114" i="6" s="1"/>
  <c r="A115" i="6" s="1"/>
  <c r="A116" i="6" s="1"/>
  <c r="A117" i="6" s="1"/>
  <c r="A118" i="6" s="1"/>
  <c r="A119" i="6" s="1"/>
  <c r="A120" i="6" s="1"/>
  <c r="A121" i="6" s="1"/>
  <c r="A122" i="6" s="1"/>
  <c r="A123" i="6" s="1"/>
  <c r="A124" i="6" s="1"/>
  <c r="A125" i="6" s="1"/>
  <c r="A126" i="6" s="1"/>
  <c r="A127" i="6" s="1"/>
  <c r="A128" i="6" s="1"/>
  <c r="A129" i="6" s="1"/>
  <c r="A130" i="6" s="1"/>
  <c r="A131" i="6" s="1"/>
  <c r="A132" i="6" s="1"/>
  <c r="A133" i="6" s="1"/>
  <c r="A134" i="6" s="1"/>
  <c r="A135" i="6" s="1"/>
  <c r="A136" i="6" s="1"/>
  <c r="A137" i="6" s="1"/>
  <c r="A19" i="6"/>
  <c r="B5" i="6"/>
  <c r="B18" i="6" s="1"/>
  <c r="Q11" i="6"/>
  <c r="Y18" i="6"/>
  <c r="N9" i="6"/>
  <c r="B13" i="1" l="1"/>
  <c r="B15" i="1"/>
  <c r="B11" i="1"/>
  <c r="I6" i="6" s="1"/>
  <c r="Y20" i="6"/>
  <c r="B20" i="6"/>
  <c r="B19" i="6"/>
  <c r="Y19" i="6"/>
  <c r="L8" i="4"/>
  <c r="B21" i="6" l="1"/>
  <c r="Y21" i="6"/>
  <c r="B12" i="6"/>
  <c r="B11" i="6"/>
  <c r="I18" i="6" s="1"/>
  <c r="B10" i="6"/>
  <c r="B8" i="6"/>
  <c r="B7" i="6"/>
  <c r="B6" i="6"/>
  <c r="B4" i="6"/>
  <c r="I10" i="6" s="1"/>
  <c r="AE3" i="6"/>
  <c r="AE4" i="6" s="1"/>
  <c r="AF4" i="6" s="1"/>
  <c r="I11" i="6" l="1"/>
  <c r="Q12" i="6" s="1"/>
  <c r="Q6" i="6"/>
  <c r="Q5" i="6"/>
  <c r="Q13" i="6" s="1"/>
  <c r="Q7" i="6"/>
  <c r="Y22" i="6"/>
  <c r="B22" i="6"/>
  <c r="N18" i="6" l="1"/>
  <c r="Q8" i="6"/>
  <c r="Q9" i="6" s="1"/>
  <c r="Q10" i="6" s="1"/>
  <c r="Q4" i="6"/>
  <c r="Q14" i="6" s="1"/>
  <c r="C18" i="6"/>
  <c r="D18" i="6"/>
  <c r="E18" i="6" s="1"/>
  <c r="Y23" i="6"/>
  <c r="B23" i="6"/>
  <c r="C19" i="6"/>
  <c r="N19" i="6"/>
  <c r="I19" i="6"/>
  <c r="D19" i="6"/>
  <c r="E19" i="6" s="1"/>
  <c r="F19" i="6" s="1"/>
  <c r="G19" i="6" s="1"/>
  <c r="K4" i="4" l="1"/>
  <c r="F18" i="6"/>
  <c r="G18" i="6" s="1"/>
  <c r="H18" i="6"/>
  <c r="H19" i="6"/>
  <c r="J19" i="6" s="1"/>
  <c r="K19" i="6" s="1"/>
  <c r="W19" i="6" s="1"/>
  <c r="Y24" i="6"/>
  <c r="B24" i="6"/>
  <c r="C20" i="6"/>
  <c r="D20" i="6"/>
  <c r="E20" i="6" s="1"/>
  <c r="F20" i="6" s="1"/>
  <c r="G20" i="6" s="1"/>
  <c r="N20" i="6"/>
  <c r="I20" i="6"/>
  <c r="H20" i="6" l="1"/>
  <c r="J20" i="6" s="1"/>
  <c r="K20" i="6" s="1"/>
  <c r="W20" i="6" s="1"/>
  <c r="J18" i="6"/>
  <c r="K18" i="6" s="1"/>
  <c r="W18" i="6" s="1"/>
  <c r="Y25" i="6"/>
  <c r="B25" i="6"/>
  <c r="C21" i="6"/>
  <c r="I21" i="6"/>
  <c r="D21" i="6"/>
  <c r="E21" i="6" s="1"/>
  <c r="F21" i="6" s="1"/>
  <c r="G21" i="6" s="1"/>
  <c r="N21" i="6"/>
  <c r="H21" i="6" l="1"/>
  <c r="J21" i="6" s="1"/>
  <c r="K21" i="6" s="1"/>
  <c r="W21" i="6" s="1"/>
  <c r="Y26" i="6"/>
  <c r="B26" i="6"/>
  <c r="C22" i="6"/>
  <c r="I22" i="6"/>
  <c r="N22" i="6"/>
  <c r="D22" i="6"/>
  <c r="E22" i="6" s="1"/>
  <c r="F22" i="6" s="1"/>
  <c r="G22" i="6" s="1"/>
  <c r="H22" i="6" l="1"/>
  <c r="J22" i="6" s="1"/>
  <c r="K22" i="6" s="1"/>
  <c r="W22" i="6" s="1"/>
  <c r="Y27" i="6"/>
  <c r="B27" i="6"/>
  <c r="C23" i="6"/>
  <c r="N23" i="6"/>
  <c r="D23" i="6"/>
  <c r="E23" i="6" s="1"/>
  <c r="F23" i="6" s="1"/>
  <c r="G23" i="6" s="1"/>
  <c r="I23" i="6"/>
  <c r="H23" i="6" l="1"/>
  <c r="J23" i="6" s="1"/>
  <c r="K23" i="6" s="1"/>
  <c r="W23" i="6" s="1"/>
  <c r="B28" i="6"/>
  <c r="Y28" i="6"/>
  <c r="I24" i="6"/>
  <c r="N24" i="6"/>
  <c r="D24" i="6"/>
  <c r="E24" i="6" s="1"/>
  <c r="F24" i="6" s="1"/>
  <c r="G24" i="6" s="1"/>
  <c r="C24" i="6"/>
  <c r="H24" i="6" l="1"/>
  <c r="J24" i="6" s="1"/>
  <c r="K24" i="6" s="1"/>
  <c r="W24" i="6" s="1"/>
  <c r="B29" i="6"/>
  <c r="Y29" i="6"/>
  <c r="I25" i="6"/>
  <c r="D25" i="6"/>
  <c r="E25" i="6" s="1"/>
  <c r="F25" i="6" s="1"/>
  <c r="G25" i="6" s="1"/>
  <c r="N25" i="6"/>
  <c r="C25" i="6"/>
  <c r="H25" i="6" l="1"/>
  <c r="J25" i="6" s="1"/>
  <c r="K25" i="6" s="1"/>
  <c r="W25" i="6" s="1"/>
  <c r="Y30" i="6"/>
  <c r="B30" i="6"/>
  <c r="C26" i="6"/>
  <c r="D26" i="6"/>
  <c r="E26" i="6" s="1"/>
  <c r="F26" i="6" s="1"/>
  <c r="G26" i="6" s="1"/>
  <c r="I26" i="6"/>
  <c r="N26" i="6"/>
  <c r="B31" i="6" l="1"/>
  <c r="Y31" i="6"/>
  <c r="H26" i="6"/>
  <c r="J26" i="6" s="1"/>
  <c r="K26" i="6" s="1"/>
  <c r="W26" i="6" s="1"/>
  <c r="N27" i="6"/>
  <c r="D27" i="6"/>
  <c r="E27" i="6" s="1"/>
  <c r="F27" i="6" s="1"/>
  <c r="G27" i="6" s="1"/>
  <c r="I27" i="6"/>
  <c r="C27" i="6"/>
  <c r="Y32" i="6" l="1"/>
  <c r="B32" i="6"/>
  <c r="C28" i="6"/>
  <c r="D28" i="6"/>
  <c r="E28" i="6" s="1"/>
  <c r="F28" i="6" s="1"/>
  <c r="G28" i="6" s="1"/>
  <c r="H27" i="6"/>
  <c r="J27" i="6" s="1"/>
  <c r="K27" i="6" s="1"/>
  <c r="W27" i="6" s="1"/>
  <c r="N28" i="6"/>
  <c r="B33" i="6" l="1"/>
  <c r="Y33" i="6"/>
  <c r="C29" i="6"/>
  <c r="D29" i="6"/>
  <c r="E29" i="6" s="1"/>
  <c r="F29" i="6" s="1"/>
  <c r="G29" i="6" s="1"/>
  <c r="N29" i="6"/>
  <c r="H28" i="6"/>
  <c r="N30" i="6"/>
  <c r="H29" i="6" l="1"/>
  <c r="B34" i="6"/>
  <c r="Y34" i="6"/>
  <c r="C30" i="6"/>
  <c r="D30" i="6"/>
  <c r="E30" i="6" s="1"/>
  <c r="F30" i="6" s="1"/>
  <c r="G30" i="6" s="1"/>
  <c r="N31" i="6"/>
  <c r="D31" i="6"/>
  <c r="E31" i="6" s="1"/>
  <c r="F31" i="6" s="1"/>
  <c r="G31" i="6" s="1"/>
  <c r="C31" i="6"/>
  <c r="B35" i="6" l="1"/>
  <c r="Y35" i="6"/>
  <c r="H30" i="6"/>
  <c r="H31" i="6"/>
  <c r="N32" i="6"/>
  <c r="D32" i="6"/>
  <c r="E32" i="6" s="1"/>
  <c r="F32" i="6" s="1"/>
  <c r="G32" i="6" s="1"/>
  <c r="C32" i="6"/>
  <c r="B36" i="6" l="1"/>
  <c r="Y36" i="6"/>
  <c r="H32" i="6"/>
  <c r="D33" i="6"/>
  <c r="E33" i="6" s="1"/>
  <c r="F33" i="6" s="1"/>
  <c r="G33" i="6" s="1"/>
  <c r="B37" i="6" l="1"/>
  <c r="Y37" i="6"/>
  <c r="N33" i="6"/>
  <c r="C33" i="6"/>
  <c r="H33" i="6"/>
  <c r="N34" i="6"/>
  <c r="Y38" i="6" l="1"/>
  <c r="B38" i="6"/>
  <c r="D34" i="6"/>
  <c r="E34" i="6" s="1"/>
  <c r="F34" i="6" s="1"/>
  <c r="G34" i="6" s="1"/>
  <c r="C34" i="6"/>
  <c r="B39" i="6" l="1"/>
  <c r="Y39" i="6"/>
  <c r="H34" i="6"/>
  <c r="N35" i="6"/>
  <c r="C35" i="6"/>
  <c r="D35" i="6"/>
  <c r="E35" i="6" s="1"/>
  <c r="F35" i="6" s="1"/>
  <c r="G35" i="6" s="1"/>
  <c r="Y40" i="6" l="1"/>
  <c r="B40" i="6"/>
  <c r="H35" i="6"/>
  <c r="C36" i="6"/>
  <c r="N36" i="6"/>
  <c r="D36" i="6"/>
  <c r="E36" i="6" s="1"/>
  <c r="F36" i="6" s="1"/>
  <c r="G36" i="6" s="1"/>
  <c r="B41" i="6" l="1"/>
  <c r="Y41" i="6"/>
  <c r="H36" i="6"/>
  <c r="C37" i="6"/>
  <c r="D37" i="6"/>
  <c r="E37" i="6" s="1"/>
  <c r="F37" i="6" s="1"/>
  <c r="G37" i="6" s="1"/>
  <c r="N37" i="6"/>
  <c r="B42" i="6" l="1"/>
  <c r="Y42" i="6"/>
  <c r="N38" i="6"/>
  <c r="D38" i="6"/>
  <c r="E38" i="6" s="1"/>
  <c r="F38" i="6" s="1"/>
  <c r="G38" i="6" s="1"/>
  <c r="H37" i="6"/>
  <c r="C38" i="6"/>
  <c r="N39" i="6"/>
  <c r="D42" i="6" l="1"/>
  <c r="E42" i="6" s="1"/>
  <c r="F42" i="6" s="1"/>
  <c r="C42" i="6"/>
  <c r="B43" i="6"/>
  <c r="Y43" i="6"/>
  <c r="H38" i="6"/>
  <c r="C39" i="6"/>
  <c r="D39" i="6"/>
  <c r="E39" i="6" s="1"/>
  <c r="F39" i="6" s="1"/>
  <c r="G39" i="6" s="1"/>
  <c r="N40" i="6"/>
  <c r="I42" i="6" l="1"/>
  <c r="H39" i="6"/>
  <c r="Y44" i="6"/>
  <c r="B44" i="6"/>
  <c r="C40" i="6"/>
  <c r="D40" i="6"/>
  <c r="E40" i="6" s="1"/>
  <c r="F40" i="6" l="1"/>
  <c r="G40" i="6" s="1"/>
  <c r="H40" i="6"/>
  <c r="B45" i="6"/>
  <c r="Y45" i="6"/>
  <c r="N41" i="6"/>
  <c r="C41" i="6"/>
  <c r="D41" i="6"/>
  <c r="E41" i="6" s="1"/>
  <c r="F41" i="6" l="1"/>
  <c r="G41" i="6" s="1"/>
  <c r="I41" i="6"/>
  <c r="B46" i="6"/>
  <c r="Y46" i="6"/>
  <c r="H41" i="6"/>
  <c r="N42" i="6"/>
  <c r="G42" i="6" l="1"/>
  <c r="Y47" i="6"/>
  <c r="B47" i="6"/>
  <c r="H42" i="6"/>
  <c r="N43" i="6"/>
  <c r="C43" i="6"/>
  <c r="D43" i="6"/>
  <c r="E43" i="6" s="1"/>
  <c r="F43" i="6" s="1"/>
  <c r="G43" i="6" s="1"/>
  <c r="Y48" i="6" l="1"/>
  <c r="B48" i="6"/>
  <c r="H43" i="6"/>
  <c r="C44" i="6"/>
  <c r="D44" i="6"/>
  <c r="E44" i="6" s="1"/>
  <c r="F44" i="6" s="1"/>
  <c r="G44" i="6" s="1"/>
  <c r="N44" i="6"/>
  <c r="N45" i="6"/>
  <c r="D45" i="6"/>
  <c r="E45" i="6" s="1"/>
  <c r="F45" i="6" s="1"/>
  <c r="G45" i="6" s="1"/>
  <c r="B49" i="6" l="1"/>
  <c r="Y49" i="6"/>
  <c r="H44" i="6"/>
  <c r="C45" i="6"/>
  <c r="H45" i="6"/>
  <c r="N46" i="6"/>
  <c r="D46" i="6"/>
  <c r="E46" i="6" s="1"/>
  <c r="F46" i="6" s="1"/>
  <c r="G46" i="6" s="1"/>
  <c r="B50" i="6" l="1"/>
  <c r="Y50" i="6"/>
  <c r="C46" i="6"/>
  <c r="H46" i="6"/>
  <c r="C47" i="6"/>
  <c r="B51" i="6" l="1"/>
  <c r="Y51" i="6"/>
  <c r="D47" i="6"/>
  <c r="E47" i="6" s="1"/>
  <c r="F47" i="6" s="1"/>
  <c r="G47" i="6" s="1"/>
  <c r="N47" i="6"/>
  <c r="N48" i="6"/>
  <c r="D48" i="6"/>
  <c r="E48" i="6" s="1"/>
  <c r="F48" i="6" s="1"/>
  <c r="G48" i="6" s="1"/>
  <c r="C48" i="6"/>
  <c r="Y52" i="6" l="1"/>
  <c r="B52" i="6"/>
  <c r="H47" i="6"/>
  <c r="H48" i="6"/>
  <c r="N49" i="6"/>
  <c r="D49" i="6"/>
  <c r="E49" i="6" s="1"/>
  <c r="F49" i="6" s="1"/>
  <c r="G49" i="6" s="1"/>
  <c r="C49" i="6"/>
  <c r="B53" i="6" l="1"/>
  <c r="Y53" i="6"/>
  <c r="H49" i="6"/>
  <c r="B54" i="6" l="1"/>
  <c r="Y54" i="6"/>
  <c r="C50" i="6"/>
  <c r="G50" i="6"/>
  <c r="D50" i="6"/>
  <c r="E50" i="6" s="1"/>
  <c r="F50" i="6" s="1"/>
  <c r="N50" i="6"/>
  <c r="Y55" i="6" l="1"/>
  <c r="B55" i="6"/>
  <c r="H50" i="6"/>
  <c r="N51" i="6"/>
  <c r="C51" i="6"/>
  <c r="D51" i="6"/>
  <c r="E51" i="6" s="1"/>
  <c r="F51" i="6" s="1"/>
  <c r="G51" i="6"/>
  <c r="Y56" i="6" l="1"/>
  <c r="B56" i="6"/>
  <c r="C52" i="6"/>
  <c r="H51" i="6"/>
  <c r="N52" i="6"/>
  <c r="D52" i="6"/>
  <c r="E52" i="6" s="1"/>
  <c r="F52" i="6" s="1"/>
  <c r="G52" i="6" s="1"/>
  <c r="B57" i="6" l="1"/>
  <c r="Y57" i="6"/>
  <c r="D53" i="6"/>
  <c r="E53" i="6" s="1"/>
  <c r="F53" i="6" s="1"/>
  <c r="N53" i="6"/>
  <c r="H52" i="6"/>
  <c r="C53" i="6"/>
  <c r="G53" i="6"/>
  <c r="B58" i="6" l="1"/>
  <c r="Y58" i="6"/>
  <c r="H53" i="6"/>
  <c r="N54" i="6"/>
  <c r="D54" i="6"/>
  <c r="E54" i="6" s="1"/>
  <c r="F54" i="6" s="1"/>
  <c r="G54" i="6" s="1"/>
  <c r="C54" i="6"/>
  <c r="H54" i="6" l="1"/>
  <c r="B59" i="6"/>
  <c r="Y59" i="6"/>
  <c r="C55" i="6"/>
  <c r="D55" i="6"/>
  <c r="E55" i="6" s="1"/>
  <c r="F55" i="6" s="1"/>
  <c r="G55" i="6" s="1"/>
  <c r="N55" i="6"/>
  <c r="H55" i="6" l="1"/>
  <c r="Y60" i="6"/>
  <c r="B60" i="6"/>
  <c r="D56" i="6"/>
  <c r="E56" i="6" s="1"/>
  <c r="F56" i="6" s="1"/>
  <c r="G56" i="6"/>
  <c r="N56" i="6"/>
  <c r="C56" i="6"/>
  <c r="H56" i="6" l="1"/>
  <c r="B61" i="6"/>
  <c r="Y61" i="6"/>
  <c r="D57" i="6"/>
  <c r="E57" i="6" s="1"/>
  <c r="F57" i="6" s="1"/>
  <c r="N57" i="6"/>
  <c r="C57" i="6"/>
  <c r="G57" i="6"/>
  <c r="B62" i="6" l="1"/>
  <c r="Y62" i="6"/>
  <c r="H57" i="6"/>
  <c r="D58" i="6"/>
  <c r="E58" i="6" s="1"/>
  <c r="N58" i="6"/>
  <c r="C58" i="6"/>
  <c r="F58" i="6" l="1"/>
  <c r="G58" i="6" s="1"/>
  <c r="I58" i="6"/>
  <c r="Y63" i="6"/>
  <c r="B63" i="6"/>
  <c r="D63" i="6" s="1"/>
  <c r="E63" i="6" s="1"/>
  <c r="D59" i="6"/>
  <c r="E59" i="6" s="1"/>
  <c r="F59" i="6" s="1"/>
  <c r="N59" i="6"/>
  <c r="H58" i="6"/>
  <c r="C59" i="6"/>
  <c r="G59" i="6"/>
  <c r="Y64" i="6" l="1"/>
  <c r="B64" i="6"/>
  <c r="H59" i="6"/>
  <c r="C60" i="6"/>
  <c r="N60" i="6"/>
  <c r="D60" i="6"/>
  <c r="E60" i="6" s="1"/>
  <c r="F60" i="6" s="1"/>
  <c r="G60" i="6" s="1"/>
  <c r="D61" i="6"/>
  <c r="E61" i="6" s="1"/>
  <c r="F61" i="6" s="1"/>
  <c r="B65" i="6" l="1"/>
  <c r="Y65" i="6"/>
  <c r="H60" i="6"/>
  <c r="C61" i="6"/>
  <c r="N61" i="6"/>
  <c r="G61" i="6"/>
  <c r="H61" i="6"/>
  <c r="Y66" i="6" l="1"/>
  <c r="B66" i="6"/>
  <c r="C62" i="6"/>
  <c r="D62" i="6"/>
  <c r="E62" i="6" s="1"/>
  <c r="F62" i="6" s="1"/>
  <c r="G62" i="6" s="1"/>
  <c r="N62" i="6"/>
  <c r="N63" i="6"/>
  <c r="H62" i="6" l="1"/>
  <c r="Y67" i="6"/>
  <c r="B67" i="6"/>
  <c r="C63" i="6"/>
  <c r="F63" i="6"/>
  <c r="G63" i="6" s="1"/>
  <c r="Y68" i="6" l="1"/>
  <c r="B68" i="6"/>
  <c r="H63" i="6"/>
  <c r="N64" i="6"/>
  <c r="D64" i="6"/>
  <c r="E64" i="6" s="1"/>
  <c r="F64" i="6" s="1"/>
  <c r="G64" i="6" s="1"/>
  <c r="C64" i="6"/>
  <c r="Y69" i="6" l="1"/>
  <c r="B69" i="6"/>
  <c r="D65" i="6"/>
  <c r="E65" i="6" s="1"/>
  <c r="F65" i="6" s="1"/>
  <c r="N65" i="6"/>
  <c r="H64" i="6"/>
  <c r="C65" i="6"/>
  <c r="G65" i="6"/>
  <c r="H65" i="6" l="1"/>
  <c r="B70" i="6"/>
  <c r="Y70" i="6"/>
  <c r="N66" i="6"/>
  <c r="D66" i="6"/>
  <c r="E66" i="6" s="1"/>
  <c r="F66" i="6" s="1"/>
  <c r="G66" i="6" s="1"/>
  <c r="C66" i="6"/>
  <c r="H66" i="6" l="1"/>
  <c r="Y71" i="6"/>
  <c r="B71" i="6"/>
  <c r="D67" i="6"/>
  <c r="E67" i="6" s="1"/>
  <c r="F67" i="6" s="1"/>
  <c r="G67" i="6" s="1"/>
  <c r="C67" i="6"/>
  <c r="N67" i="6"/>
  <c r="H67" i="6" l="1"/>
  <c r="I67" i="6"/>
  <c r="Y72" i="6"/>
  <c r="B72" i="6"/>
  <c r="C68" i="6"/>
  <c r="D68" i="6"/>
  <c r="E68" i="6" s="1"/>
  <c r="H68" i="6" s="1"/>
  <c r="N68" i="6"/>
  <c r="I28" i="6"/>
  <c r="J28" i="6" s="1"/>
  <c r="K28" i="6" s="1"/>
  <c r="W28" i="6" s="1"/>
  <c r="I29" i="6"/>
  <c r="J29" i="6" s="1"/>
  <c r="K29" i="6" s="1"/>
  <c r="W29" i="6" s="1"/>
  <c r="I30" i="6"/>
  <c r="J30" i="6" s="1"/>
  <c r="K30" i="6" s="1"/>
  <c r="W30" i="6" s="1"/>
  <c r="I31" i="6"/>
  <c r="J31" i="6" s="1"/>
  <c r="K31" i="6" s="1"/>
  <c r="W31" i="6" s="1"/>
  <c r="I32" i="6"/>
  <c r="J32" i="6" s="1"/>
  <c r="K32" i="6" s="1"/>
  <c r="W32" i="6" s="1"/>
  <c r="I33" i="6"/>
  <c r="J33" i="6" s="1"/>
  <c r="K33" i="6" s="1"/>
  <c r="W33" i="6" s="1"/>
  <c r="I34" i="6"/>
  <c r="J34" i="6" s="1"/>
  <c r="K34" i="6" s="1"/>
  <c r="W34" i="6" s="1"/>
  <c r="I35" i="6"/>
  <c r="J35" i="6" s="1"/>
  <c r="K35" i="6" s="1"/>
  <c r="W35" i="6" s="1"/>
  <c r="I36" i="6"/>
  <c r="J36" i="6" s="1"/>
  <c r="K36" i="6" s="1"/>
  <c r="W36" i="6" s="1"/>
  <c r="I37" i="6"/>
  <c r="J37" i="6" s="1"/>
  <c r="K37" i="6" s="1"/>
  <c r="W37" i="6" s="1"/>
  <c r="I38" i="6"/>
  <c r="J38" i="6" s="1"/>
  <c r="K38" i="6" s="1"/>
  <c r="W38" i="6" s="1"/>
  <c r="I39" i="6"/>
  <c r="J39" i="6" s="1"/>
  <c r="K39" i="6" s="1"/>
  <c r="W39" i="6" s="1"/>
  <c r="I40" i="6"/>
  <c r="J40" i="6" s="1"/>
  <c r="K40" i="6" s="1"/>
  <c r="W40" i="6" s="1"/>
  <c r="J41" i="6"/>
  <c r="K41" i="6" s="1"/>
  <c r="W41" i="6" s="1"/>
  <c r="J42" i="6"/>
  <c r="K42" i="6" s="1"/>
  <c r="W42" i="6" s="1"/>
  <c r="I43" i="6"/>
  <c r="J43" i="6" s="1"/>
  <c r="K43" i="6" s="1"/>
  <c r="W43" i="6" s="1"/>
  <c r="I44" i="6"/>
  <c r="J44" i="6" s="1"/>
  <c r="K44" i="6" s="1"/>
  <c r="W44" i="6" s="1"/>
  <c r="I45" i="6"/>
  <c r="J45" i="6" s="1"/>
  <c r="K45" i="6" s="1"/>
  <c r="W45" i="6" s="1"/>
  <c r="I46" i="6"/>
  <c r="J46" i="6" s="1"/>
  <c r="K46" i="6" s="1"/>
  <c r="W46" i="6" s="1"/>
  <c r="I47" i="6"/>
  <c r="J47" i="6" s="1"/>
  <c r="K47" i="6" s="1"/>
  <c r="W47" i="6" s="1"/>
  <c r="I48" i="6"/>
  <c r="J48" i="6" s="1"/>
  <c r="K48" i="6" s="1"/>
  <c r="W48" i="6" s="1"/>
  <c r="I49" i="6"/>
  <c r="J49" i="6" s="1"/>
  <c r="K49" i="6" s="1"/>
  <c r="W49" i="6" s="1"/>
  <c r="I50" i="6"/>
  <c r="J50" i="6" s="1"/>
  <c r="K50" i="6" s="1"/>
  <c r="I51" i="6"/>
  <c r="J51" i="6" s="1"/>
  <c r="K51" i="6" s="1"/>
  <c r="W51" i="6" s="1"/>
  <c r="I52" i="6"/>
  <c r="J52" i="6" s="1"/>
  <c r="K52" i="6" s="1"/>
  <c r="W52" i="6" s="1"/>
  <c r="I53" i="6"/>
  <c r="J53" i="6" s="1"/>
  <c r="K53" i="6" s="1"/>
  <c r="W53" i="6" s="1"/>
  <c r="I54" i="6"/>
  <c r="J54" i="6" s="1"/>
  <c r="K54" i="6" s="1"/>
  <c r="W54" i="6" s="1"/>
  <c r="I55" i="6"/>
  <c r="J55" i="6" s="1"/>
  <c r="K55" i="6" s="1"/>
  <c r="W55" i="6" s="1"/>
  <c r="I56" i="6"/>
  <c r="J56" i="6" s="1"/>
  <c r="K56" i="6" s="1"/>
  <c r="W56" i="6" s="1"/>
  <c r="I57" i="6"/>
  <c r="J57" i="6" s="1"/>
  <c r="K57" i="6" s="1"/>
  <c r="W57" i="6" s="1"/>
  <c r="J58" i="6"/>
  <c r="K58" i="6" s="1"/>
  <c r="W58" i="6" s="1"/>
  <c r="I59" i="6"/>
  <c r="J59" i="6" s="1"/>
  <c r="K59" i="6" s="1"/>
  <c r="W59" i="6" s="1"/>
  <c r="I60" i="6"/>
  <c r="J60" i="6" s="1"/>
  <c r="K60" i="6" s="1"/>
  <c r="W60" i="6" s="1"/>
  <c r="I61" i="6"/>
  <c r="J61" i="6" s="1"/>
  <c r="K61" i="6" s="1"/>
  <c r="W61" i="6" s="1"/>
  <c r="I62" i="6"/>
  <c r="J62" i="6" s="1"/>
  <c r="K62" i="6" s="1"/>
  <c r="W62" i="6" s="1"/>
  <c r="I63" i="6"/>
  <c r="J63" i="6" s="1"/>
  <c r="K63" i="6" s="1"/>
  <c r="W63" i="6" s="1"/>
  <c r="N69" i="6"/>
  <c r="D69" i="6"/>
  <c r="E69" i="6" s="1"/>
  <c r="F69" i="6" s="1"/>
  <c r="G69" i="6" s="1"/>
  <c r="I64" i="6"/>
  <c r="J64" i="6" s="1"/>
  <c r="K64" i="6" s="1"/>
  <c r="I65" i="6"/>
  <c r="J65" i="6" s="1"/>
  <c r="K65" i="6" s="1"/>
  <c r="W65" i="6" s="1"/>
  <c r="I66" i="6"/>
  <c r="J66" i="6" s="1"/>
  <c r="K66" i="6" s="1"/>
  <c r="J67" i="6" l="1"/>
  <c r="K67" i="6" s="1"/>
  <c r="W67" i="6" s="1"/>
  <c r="F68" i="6"/>
  <c r="G68" i="6" s="1"/>
  <c r="I68" i="6"/>
  <c r="Y73" i="6"/>
  <c r="B73" i="6"/>
  <c r="C69" i="6"/>
  <c r="H69" i="6"/>
  <c r="W50" i="6"/>
  <c r="X4" i="6"/>
  <c r="I69" i="6"/>
  <c r="W66" i="6"/>
  <c r="W64" i="6"/>
  <c r="C70" i="6"/>
  <c r="J68" i="6" l="1"/>
  <c r="K68" i="6" s="1"/>
  <c r="W68" i="6" s="1"/>
  <c r="Y74" i="6"/>
  <c r="B74" i="6"/>
  <c r="D70" i="6"/>
  <c r="E70" i="6" s="1"/>
  <c r="F70" i="6" s="1"/>
  <c r="G70" i="6" s="1"/>
  <c r="J69" i="6"/>
  <c r="K69" i="6" s="1"/>
  <c r="W69" i="6" s="1"/>
  <c r="N70" i="6"/>
  <c r="H70" i="6" l="1"/>
  <c r="I70" i="6"/>
  <c r="Y75" i="6"/>
  <c r="B75" i="6"/>
  <c r="D71" i="6"/>
  <c r="E71" i="6" s="1"/>
  <c r="F71" i="6" s="1"/>
  <c r="N71" i="6"/>
  <c r="C71" i="6"/>
  <c r="G71" i="6"/>
  <c r="J70" i="6" l="1"/>
  <c r="K70" i="6" s="1"/>
  <c r="W70" i="6" s="1"/>
  <c r="H71" i="6"/>
  <c r="I71" i="6"/>
  <c r="Y76" i="6"/>
  <c r="B76" i="6"/>
  <c r="N72" i="6"/>
  <c r="D72" i="6"/>
  <c r="E72" i="6" s="1"/>
  <c r="F72" i="6" s="1"/>
  <c r="G72" i="6" s="1"/>
  <c r="C72" i="6"/>
  <c r="J71" i="6" l="1"/>
  <c r="K71" i="6" s="1"/>
  <c r="W71" i="6" s="1"/>
  <c r="B77" i="6"/>
  <c r="Y77" i="6"/>
  <c r="I72" i="6"/>
  <c r="N73" i="6"/>
  <c r="D73" i="6"/>
  <c r="E73" i="6" s="1"/>
  <c r="F73" i="6" s="1"/>
  <c r="G73" i="6" s="1"/>
  <c r="H72" i="6"/>
  <c r="C73" i="6"/>
  <c r="J72" i="6" l="1"/>
  <c r="K72" i="6" s="1"/>
  <c r="W72" i="6" s="1"/>
  <c r="I73" i="6"/>
  <c r="Y78" i="6"/>
  <c r="B78" i="6"/>
  <c r="C74" i="6"/>
  <c r="H73" i="6"/>
  <c r="D74" i="6"/>
  <c r="E74" i="6" s="1"/>
  <c r="F74" i="6" s="1"/>
  <c r="N74" i="6"/>
  <c r="G74" i="6"/>
  <c r="J73" i="6" l="1"/>
  <c r="K73" i="6" s="1"/>
  <c r="W73" i="6" s="1"/>
  <c r="I74" i="6"/>
  <c r="B79" i="6"/>
  <c r="Y79" i="6"/>
  <c r="D75" i="6"/>
  <c r="E75" i="6" s="1"/>
  <c r="F75" i="6" s="1"/>
  <c r="N75" i="6"/>
  <c r="H74" i="6"/>
  <c r="C75" i="6"/>
  <c r="G75" i="6"/>
  <c r="J74" i="6" l="1"/>
  <c r="K74" i="6" s="1"/>
  <c r="W74" i="6" s="1"/>
  <c r="I75" i="6"/>
  <c r="B80" i="6"/>
  <c r="Y80" i="6"/>
  <c r="H75" i="6"/>
  <c r="D76" i="6"/>
  <c r="E76" i="6" s="1"/>
  <c r="F76" i="6" s="1"/>
  <c r="G76" i="6" s="1"/>
  <c r="N76" i="6"/>
  <c r="C76" i="6"/>
  <c r="J75" i="6" l="1"/>
  <c r="K75" i="6" s="1"/>
  <c r="W75" i="6" s="1"/>
  <c r="Y81" i="6"/>
  <c r="B81" i="6"/>
  <c r="I76" i="6"/>
  <c r="D77" i="6"/>
  <c r="E77" i="6" s="1"/>
  <c r="F77" i="6" s="1"/>
  <c r="N77" i="6"/>
  <c r="H76" i="6"/>
  <c r="C77" i="6"/>
  <c r="G77" i="6"/>
  <c r="C78" i="6"/>
  <c r="H77" i="6" l="1"/>
  <c r="J76" i="6"/>
  <c r="K76" i="6" s="1"/>
  <c r="W76" i="6" s="1"/>
  <c r="I77" i="6"/>
  <c r="Y82" i="6"/>
  <c r="B82" i="6"/>
  <c r="D78" i="6"/>
  <c r="E78" i="6" s="1"/>
  <c r="F78" i="6" s="1"/>
  <c r="N78" i="6"/>
  <c r="N79" i="6"/>
  <c r="D79" i="6"/>
  <c r="E79" i="6" s="1"/>
  <c r="F79" i="6" s="1"/>
  <c r="C79" i="6"/>
  <c r="J77" i="6" l="1"/>
  <c r="K77" i="6" s="1"/>
  <c r="W77" i="6" s="1"/>
  <c r="Y83" i="6"/>
  <c r="B83" i="6"/>
  <c r="G78" i="6"/>
  <c r="G79" i="6"/>
  <c r="I78" i="6"/>
  <c r="H78" i="6"/>
  <c r="H79" i="6"/>
  <c r="N80" i="6"/>
  <c r="D80" i="6"/>
  <c r="E80" i="6" s="1"/>
  <c r="F80" i="6" s="1"/>
  <c r="I79" i="6"/>
  <c r="C80" i="6"/>
  <c r="Y84" i="6" l="1"/>
  <c r="B84" i="6"/>
  <c r="J79" i="6"/>
  <c r="K79" i="6" s="1"/>
  <c r="W79" i="6" s="1"/>
  <c r="G80" i="6"/>
  <c r="J78" i="6"/>
  <c r="K78" i="6" s="1"/>
  <c r="W78" i="6" s="1"/>
  <c r="H80" i="6"/>
  <c r="I80" i="6"/>
  <c r="N81" i="6"/>
  <c r="D81" i="6"/>
  <c r="E81" i="6" s="1"/>
  <c r="F81" i="6" s="1"/>
  <c r="C81" i="6"/>
  <c r="Y85" i="6" l="1"/>
  <c r="B85" i="6"/>
  <c r="G81" i="6"/>
  <c r="J80" i="6"/>
  <c r="K80" i="6" s="1"/>
  <c r="W80" i="6" s="1"/>
  <c r="H81" i="6"/>
  <c r="I81" i="6"/>
  <c r="N82" i="6"/>
  <c r="D82" i="6"/>
  <c r="E82" i="6" s="1"/>
  <c r="F82" i="6" s="1"/>
  <c r="C82" i="6"/>
  <c r="Y86" i="6" l="1"/>
  <c r="B86" i="6"/>
  <c r="G82" i="6"/>
  <c r="J81" i="6"/>
  <c r="K81" i="6" s="1"/>
  <c r="W81" i="6" s="1"/>
  <c r="H82" i="6"/>
  <c r="I82" i="6"/>
  <c r="N83" i="6"/>
  <c r="D83" i="6"/>
  <c r="E83" i="6" s="1"/>
  <c r="F83" i="6" s="1"/>
  <c r="B87" i="6" l="1"/>
  <c r="Y87" i="6"/>
  <c r="G83" i="6"/>
  <c r="C83" i="6"/>
  <c r="J82" i="6"/>
  <c r="K82" i="6" s="1"/>
  <c r="W82" i="6" s="1"/>
  <c r="H83" i="6"/>
  <c r="N84" i="6"/>
  <c r="D84" i="6"/>
  <c r="E84" i="6" s="1"/>
  <c r="F84" i="6" s="1"/>
  <c r="I83" i="6"/>
  <c r="Y88" i="6" l="1"/>
  <c r="B88" i="6"/>
  <c r="C84" i="6"/>
  <c r="J83" i="6"/>
  <c r="K83" i="6" s="1"/>
  <c r="W83" i="6" s="1"/>
  <c r="H84" i="6"/>
  <c r="G84" i="6"/>
  <c r="I84" i="6"/>
  <c r="Y89" i="6" l="1"/>
  <c r="B89" i="6"/>
  <c r="D85" i="6"/>
  <c r="E85" i="6" s="1"/>
  <c r="F85" i="6" s="1"/>
  <c r="C85" i="6"/>
  <c r="N85" i="6"/>
  <c r="J84" i="6"/>
  <c r="K84" i="6" s="1"/>
  <c r="W84" i="6" s="1"/>
  <c r="G85" i="6"/>
  <c r="H85" i="6" l="1"/>
  <c r="I85" i="6"/>
  <c r="Y90" i="6"/>
  <c r="B90" i="6"/>
  <c r="N86" i="6"/>
  <c r="C86" i="6"/>
  <c r="D86" i="6"/>
  <c r="E86" i="6" s="1"/>
  <c r="F86" i="6" s="1"/>
  <c r="G86" i="6" s="1"/>
  <c r="J85" i="6" l="1"/>
  <c r="K85" i="6" s="1"/>
  <c r="W85" i="6" s="1"/>
  <c r="H86" i="6"/>
  <c r="Y91" i="6"/>
  <c r="B91" i="6"/>
  <c r="N87" i="6"/>
  <c r="C87" i="6"/>
  <c r="I86" i="6"/>
  <c r="D87" i="6"/>
  <c r="E87" i="6" s="1"/>
  <c r="F87" i="6" s="1"/>
  <c r="G87" i="6" s="1"/>
  <c r="J86" i="6" l="1"/>
  <c r="K86" i="6" s="1"/>
  <c r="W86" i="6" s="1"/>
  <c r="H87" i="6"/>
  <c r="Y92" i="6"/>
  <c r="B92" i="6"/>
  <c r="D88" i="6"/>
  <c r="E88" i="6" s="1"/>
  <c r="F88" i="6" s="1"/>
  <c r="N88" i="6"/>
  <c r="C88" i="6"/>
  <c r="G88" i="6"/>
  <c r="I87" i="6"/>
  <c r="J87" i="6" l="1"/>
  <c r="K87" i="6" s="1"/>
  <c r="W87" i="6" s="1"/>
  <c r="H88" i="6"/>
  <c r="I88" i="6"/>
  <c r="Y93" i="6"/>
  <c r="B93" i="6"/>
  <c r="D89" i="6"/>
  <c r="E89" i="6" s="1"/>
  <c r="F89" i="6" s="1"/>
  <c r="G89" i="6" s="1"/>
  <c r="N89" i="6"/>
  <c r="C89" i="6"/>
  <c r="J88" i="6" l="1"/>
  <c r="K88" i="6" s="1"/>
  <c r="W88" i="6" s="1"/>
  <c r="H89" i="6"/>
  <c r="Y94" i="6"/>
  <c r="B94" i="6"/>
  <c r="N90" i="6"/>
  <c r="I89" i="6"/>
  <c r="D90" i="6"/>
  <c r="E90" i="6" s="1"/>
  <c r="F90" i="6" s="1"/>
  <c r="G90" i="6" s="1"/>
  <c r="C90" i="6"/>
  <c r="H90" i="6"/>
  <c r="J89" i="6" l="1"/>
  <c r="K89" i="6" s="1"/>
  <c r="W89" i="6" s="1"/>
  <c r="Y95" i="6"/>
  <c r="B95" i="6"/>
  <c r="I90" i="6"/>
  <c r="J90" i="6" s="1"/>
  <c r="K90" i="6" s="1"/>
  <c r="W90" i="6" s="1"/>
  <c r="N91" i="6"/>
  <c r="C91" i="6"/>
  <c r="D91" i="6"/>
  <c r="E91" i="6" s="1"/>
  <c r="F91" i="6" s="1"/>
  <c r="G91" i="6" s="1"/>
  <c r="H91" i="6"/>
  <c r="Y96" i="6" l="1"/>
  <c r="B96" i="6"/>
  <c r="D92" i="6"/>
  <c r="E92" i="6" s="1"/>
  <c r="F92" i="6" s="1"/>
  <c r="N92" i="6"/>
  <c r="I91" i="6"/>
  <c r="J91" i="6" s="1"/>
  <c r="K91" i="6" s="1"/>
  <c r="W91" i="6" s="1"/>
  <c r="H92" i="6"/>
  <c r="C92" i="6"/>
  <c r="G92" i="6"/>
  <c r="I92" i="6" l="1"/>
  <c r="J92" i="6" s="1"/>
  <c r="K92" i="6" s="1"/>
  <c r="W92" i="6" s="1"/>
  <c r="Y97" i="6"/>
  <c r="B97" i="6"/>
  <c r="N93" i="6"/>
  <c r="C93" i="6"/>
  <c r="D93" i="6"/>
  <c r="E93" i="6" s="1"/>
  <c r="F93" i="6" s="1"/>
  <c r="G93" i="6" s="1"/>
  <c r="H93" i="6"/>
  <c r="Y98" i="6" l="1"/>
  <c r="B98" i="6"/>
  <c r="C94" i="6"/>
  <c r="I93" i="6"/>
  <c r="J93" i="6" s="1"/>
  <c r="K93" i="6" s="1"/>
  <c r="W93" i="6" s="1"/>
  <c r="D94" i="6"/>
  <c r="E94" i="6" s="1"/>
  <c r="F94" i="6" s="1"/>
  <c r="G94" i="6" s="1"/>
  <c r="N94" i="6"/>
  <c r="H94" i="6"/>
  <c r="Y99" i="6" l="1"/>
  <c r="B99" i="6"/>
  <c r="C95" i="6"/>
  <c r="N95" i="6"/>
  <c r="I94" i="6"/>
  <c r="J94" i="6" s="1"/>
  <c r="K94" i="6" s="1"/>
  <c r="W94" i="6" s="1"/>
  <c r="D95" i="6"/>
  <c r="E95" i="6" s="1"/>
  <c r="F95" i="6" s="1"/>
  <c r="G95" i="6" s="1"/>
  <c r="H95" i="6"/>
  <c r="N96" i="6"/>
  <c r="D96" i="6"/>
  <c r="E96" i="6" s="1"/>
  <c r="F96" i="6" s="1"/>
  <c r="Y100" i="6" l="1"/>
  <c r="B100" i="6"/>
  <c r="I95" i="6"/>
  <c r="J95" i="6" s="1"/>
  <c r="K95" i="6" s="1"/>
  <c r="W95" i="6" s="1"/>
  <c r="G96" i="6"/>
  <c r="C96" i="6"/>
  <c r="D97" i="6"/>
  <c r="E97" i="6" s="1"/>
  <c r="F97" i="6" s="1"/>
  <c r="H96" i="6"/>
  <c r="N97" i="6"/>
  <c r="I96" i="6"/>
  <c r="Y101" i="6" l="1"/>
  <c r="B101" i="6"/>
  <c r="G97" i="6"/>
  <c r="C97" i="6"/>
  <c r="J96" i="6"/>
  <c r="K96" i="6" s="1"/>
  <c r="W96" i="6" s="1"/>
  <c r="H97" i="6"/>
  <c r="I97" i="6"/>
  <c r="B102" i="6" l="1"/>
  <c r="Y102" i="6"/>
  <c r="D98" i="6"/>
  <c r="E98" i="6" s="1"/>
  <c r="F98" i="6" s="1"/>
  <c r="G98" i="6" s="1"/>
  <c r="N98" i="6"/>
  <c r="C98" i="6"/>
  <c r="J97" i="6"/>
  <c r="K97" i="6" s="1"/>
  <c r="W97" i="6" s="1"/>
  <c r="H98" i="6"/>
  <c r="B103" i="6" l="1"/>
  <c r="Y103" i="6"/>
  <c r="N99" i="6"/>
  <c r="I98" i="6"/>
  <c r="J98" i="6" s="1"/>
  <c r="K98" i="6" s="1"/>
  <c r="W98" i="6" s="1"/>
  <c r="C99" i="6"/>
  <c r="D99" i="6"/>
  <c r="E99" i="6" s="1"/>
  <c r="F99" i="6" s="1"/>
  <c r="G99" i="6" s="1"/>
  <c r="H99" i="6"/>
  <c r="Y104" i="6" l="1"/>
  <c r="B104" i="6"/>
  <c r="N100" i="6"/>
  <c r="I99" i="6"/>
  <c r="J99" i="6" s="1"/>
  <c r="K99" i="6" s="1"/>
  <c r="W99" i="6" s="1"/>
  <c r="D100" i="6"/>
  <c r="E100" i="6" s="1"/>
  <c r="F100" i="6" s="1"/>
  <c r="G100" i="6" s="1"/>
  <c r="H100" i="6"/>
  <c r="C100" i="6"/>
  <c r="Y105" i="6" l="1"/>
  <c r="B105" i="6"/>
  <c r="I100" i="6"/>
  <c r="J100" i="6" s="1"/>
  <c r="K100" i="6" s="1"/>
  <c r="W100" i="6" s="1"/>
  <c r="D101" i="6"/>
  <c r="E101" i="6" s="1"/>
  <c r="F101" i="6" s="1"/>
  <c r="G101" i="6" s="1"/>
  <c r="C101" i="6"/>
  <c r="N101" i="6"/>
  <c r="H101" i="6"/>
  <c r="Y106" i="6" l="1"/>
  <c r="B106" i="6"/>
  <c r="I101" i="6"/>
  <c r="J101" i="6" s="1"/>
  <c r="K101" i="6" s="1"/>
  <c r="W101" i="6" s="1"/>
  <c r="N102" i="6"/>
  <c r="D102" i="6"/>
  <c r="E102" i="6" s="1"/>
  <c r="F102" i="6" s="1"/>
  <c r="G102" i="6" s="1"/>
  <c r="C102" i="6"/>
  <c r="H102" i="6"/>
  <c r="Y107" i="6" l="1"/>
  <c r="B107" i="6"/>
  <c r="D103" i="6"/>
  <c r="E103" i="6" s="1"/>
  <c r="F103" i="6" s="1"/>
  <c r="G103" i="6" s="1"/>
  <c r="N103" i="6"/>
  <c r="I102" i="6"/>
  <c r="J102" i="6" s="1"/>
  <c r="K102" i="6" s="1"/>
  <c r="W102" i="6" s="1"/>
  <c r="C103" i="6"/>
  <c r="H103" i="6"/>
  <c r="Y108" i="6" l="1"/>
  <c r="B108" i="6"/>
  <c r="C104" i="6"/>
  <c r="D104" i="6"/>
  <c r="E104" i="6" s="1"/>
  <c r="F104" i="6" s="1"/>
  <c r="G104" i="6" s="1"/>
  <c r="N104" i="6"/>
  <c r="I103" i="6"/>
  <c r="J103" i="6" s="1"/>
  <c r="K103" i="6" s="1"/>
  <c r="W103" i="6" s="1"/>
  <c r="H104" i="6"/>
  <c r="B109" i="6" l="1"/>
  <c r="Y109" i="6"/>
  <c r="N105" i="6"/>
  <c r="I104" i="6"/>
  <c r="J104" i="6" s="1"/>
  <c r="K104" i="6" s="1"/>
  <c r="W104" i="6" s="1"/>
  <c r="D105" i="6"/>
  <c r="E105" i="6" s="1"/>
  <c r="F105" i="6" s="1"/>
  <c r="G105" i="6" s="1"/>
  <c r="C105" i="6"/>
  <c r="H105" i="6"/>
  <c r="B110" i="6" l="1"/>
  <c r="Y110" i="6"/>
  <c r="I105" i="6"/>
  <c r="J105" i="6" s="1"/>
  <c r="K105" i="6" s="1"/>
  <c r="W105" i="6" s="1"/>
  <c r="D106" i="6"/>
  <c r="E106" i="6" s="1"/>
  <c r="F106" i="6" s="1"/>
  <c r="G106" i="6" s="1"/>
  <c r="C106" i="6"/>
  <c r="N106" i="6"/>
  <c r="H106" i="6"/>
  <c r="Y111" i="6" l="1"/>
  <c r="B111" i="6"/>
  <c r="D107" i="6"/>
  <c r="E107" i="6" s="1"/>
  <c r="F107" i="6" s="1"/>
  <c r="I106" i="6"/>
  <c r="J106" i="6" s="1"/>
  <c r="K106" i="6" s="1"/>
  <c r="W106" i="6" s="1"/>
  <c r="C107" i="6"/>
  <c r="N107" i="6"/>
  <c r="G107" i="6"/>
  <c r="H107" i="6"/>
  <c r="C108" i="6"/>
  <c r="I107" i="6" l="1"/>
  <c r="J107" i="6" s="1"/>
  <c r="K107" i="6" s="1"/>
  <c r="W107" i="6" s="1"/>
  <c r="B112" i="6"/>
  <c r="Y112" i="6"/>
  <c r="D108" i="6"/>
  <c r="E108" i="6" s="1"/>
  <c r="F108" i="6" s="1"/>
  <c r="N108" i="6"/>
  <c r="H108" i="6"/>
  <c r="D109" i="6"/>
  <c r="E109" i="6" s="1"/>
  <c r="F109" i="6" s="1"/>
  <c r="G109" i="6"/>
  <c r="C109" i="6"/>
  <c r="Y113" i="6" l="1"/>
  <c r="B113" i="6"/>
  <c r="I108" i="6"/>
  <c r="G108" i="6"/>
  <c r="N109" i="6"/>
  <c r="I109" i="6"/>
  <c r="H109" i="6"/>
  <c r="J108" i="6" l="1"/>
  <c r="K108" i="6" s="1"/>
  <c r="W108" i="6" s="1"/>
  <c r="Y114" i="6"/>
  <c r="B114" i="6"/>
  <c r="D110" i="6"/>
  <c r="E110" i="6" s="1"/>
  <c r="F110" i="6" s="1"/>
  <c r="C110" i="6"/>
  <c r="N110" i="6"/>
  <c r="G110" i="6"/>
  <c r="J109" i="6"/>
  <c r="K109" i="6" s="1"/>
  <c r="W109" i="6" s="1"/>
  <c r="H110" i="6"/>
  <c r="Y115" i="6" l="1"/>
  <c r="B115" i="6"/>
  <c r="I110" i="6"/>
  <c r="J110" i="6" s="1"/>
  <c r="K110" i="6" s="1"/>
  <c r="W110" i="6" s="1"/>
  <c r="N111" i="6"/>
  <c r="C111" i="6"/>
  <c r="D111" i="6"/>
  <c r="E111" i="6" s="1"/>
  <c r="F111" i="6" s="1"/>
  <c r="C112" i="6"/>
  <c r="H111" i="6"/>
  <c r="Y116" i="6" l="1"/>
  <c r="B116" i="6"/>
  <c r="G111" i="6"/>
  <c r="I111" i="6"/>
  <c r="D112" i="6"/>
  <c r="E112" i="6" s="1"/>
  <c r="F112" i="6" s="1"/>
  <c r="N112" i="6"/>
  <c r="G112" i="6"/>
  <c r="H112" i="6"/>
  <c r="J111" i="6" l="1"/>
  <c r="K111" i="6" s="1"/>
  <c r="W111" i="6" s="1"/>
  <c r="Y117" i="6"/>
  <c r="B117" i="6"/>
  <c r="I112" i="6"/>
  <c r="J112" i="6" s="1"/>
  <c r="K112" i="6" s="1"/>
  <c r="W112" i="6" s="1"/>
  <c r="C113" i="6"/>
  <c r="D113" i="6"/>
  <c r="E113" i="6" s="1"/>
  <c r="F113" i="6" s="1"/>
  <c r="N113" i="6"/>
  <c r="H113" i="6"/>
  <c r="B118" i="6" l="1"/>
  <c r="Y118" i="6"/>
  <c r="G113" i="6"/>
  <c r="C114" i="6"/>
  <c r="D114" i="6"/>
  <c r="E114" i="6" s="1"/>
  <c r="F114" i="6" s="1"/>
  <c r="N114" i="6"/>
  <c r="I113" i="6"/>
  <c r="H114" i="6"/>
  <c r="D115" i="6"/>
  <c r="E115" i="6" s="1"/>
  <c r="F115" i="6" s="1"/>
  <c r="G115" i="6" s="1"/>
  <c r="C115" i="6"/>
  <c r="J113" i="6" l="1"/>
  <c r="K113" i="6" s="1"/>
  <c r="W113" i="6" s="1"/>
  <c r="B119" i="6"/>
  <c r="Y119" i="6"/>
  <c r="G114" i="6"/>
  <c r="N115" i="6"/>
  <c r="I114" i="6"/>
  <c r="H115" i="6"/>
  <c r="I115" i="6"/>
  <c r="N116" i="6"/>
  <c r="C116" i="6"/>
  <c r="B120" i="6" l="1"/>
  <c r="Y120" i="6"/>
  <c r="J114" i="6"/>
  <c r="K114" i="6" s="1"/>
  <c r="W114" i="6" s="1"/>
  <c r="D116" i="6"/>
  <c r="E116" i="6" s="1"/>
  <c r="F116" i="6" s="1"/>
  <c r="G116" i="6" s="1"/>
  <c r="J115" i="6"/>
  <c r="K115" i="6" s="1"/>
  <c r="W115" i="6" s="1"/>
  <c r="H116" i="6"/>
  <c r="N117" i="6"/>
  <c r="D117" i="6"/>
  <c r="E117" i="6" s="1"/>
  <c r="F117" i="6" s="1"/>
  <c r="Y121" i="6" l="1"/>
  <c r="B121" i="6"/>
  <c r="G117" i="6"/>
  <c r="I116" i="6"/>
  <c r="J116" i="6" s="1"/>
  <c r="K116" i="6" s="1"/>
  <c r="W116" i="6" s="1"/>
  <c r="C117" i="6"/>
  <c r="H117" i="6"/>
  <c r="I117" i="6"/>
  <c r="Y122" i="6" l="1"/>
  <c r="B122" i="6"/>
  <c r="L11" i="4" s="1" a="1"/>
  <c r="L11" i="4" s="1"/>
  <c r="J117" i="6"/>
  <c r="K117" i="6" s="1"/>
  <c r="W117" i="6" s="1"/>
  <c r="D118" i="6"/>
  <c r="E118" i="6" s="1"/>
  <c r="F118" i="6" s="1"/>
  <c r="G118" i="6" s="1"/>
  <c r="N118" i="6"/>
  <c r="C118" i="6"/>
  <c r="H118" i="6"/>
  <c r="Y123" i="6" l="1"/>
  <c r="B123" i="6"/>
  <c r="D119" i="6"/>
  <c r="E119" i="6" s="1"/>
  <c r="F119" i="6" s="1"/>
  <c r="I118" i="6"/>
  <c r="J118" i="6" s="1"/>
  <c r="K118" i="6" s="1"/>
  <c r="W118" i="6" s="1"/>
  <c r="C119" i="6"/>
  <c r="N119" i="6"/>
  <c r="G119" i="6"/>
  <c r="H119" i="6"/>
  <c r="Y124" i="6" l="1"/>
  <c r="B124" i="6"/>
  <c r="D120" i="6"/>
  <c r="E120" i="6" s="1"/>
  <c r="F120" i="6" s="1"/>
  <c r="I119" i="6"/>
  <c r="J119" i="6" s="1"/>
  <c r="K119" i="6" s="1"/>
  <c r="W119" i="6" s="1"/>
  <c r="C120" i="6"/>
  <c r="G120" i="6"/>
  <c r="N120" i="6"/>
  <c r="H120" i="6"/>
  <c r="I120" i="6" l="1"/>
  <c r="J120" i="6" s="1"/>
  <c r="K120" i="6" s="1"/>
  <c r="W120" i="6" s="1"/>
  <c r="B125" i="6"/>
  <c r="Y125" i="6"/>
  <c r="C121" i="6"/>
  <c r="N121" i="6"/>
  <c r="D121" i="6"/>
  <c r="E121" i="6" s="1"/>
  <c r="F121" i="6" s="1"/>
  <c r="G121" i="6" s="1"/>
  <c r="H121" i="6"/>
  <c r="Y126" i="6" l="1"/>
  <c r="B126" i="6"/>
  <c r="N122" i="6"/>
  <c r="I121" i="6"/>
  <c r="J121" i="6" s="1"/>
  <c r="K121" i="6" s="1"/>
  <c r="W121" i="6" s="1"/>
  <c r="D122" i="6"/>
  <c r="E122" i="6" s="1"/>
  <c r="F122" i="6" s="1"/>
  <c r="G122" i="6" s="1"/>
  <c r="C122" i="6"/>
  <c r="H122" i="6"/>
  <c r="Y127" i="6" l="1"/>
  <c r="B127" i="6"/>
  <c r="I122" i="6"/>
  <c r="J122" i="6" s="1"/>
  <c r="K122" i="6" s="1"/>
  <c r="W122" i="6" s="1"/>
  <c r="D123" i="6"/>
  <c r="E123" i="6" s="1"/>
  <c r="F123" i="6" s="1"/>
  <c r="C123" i="6"/>
  <c r="N123" i="6"/>
  <c r="H123" i="6"/>
  <c r="Y128" i="6" l="1"/>
  <c r="B128" i="6"/>
  <c r="I123" i="6"/>
  <c r="G123" i="6"/>
  <c r="D124" i="6"/>
  <c r="E124" i="6" s="1"/>
  <c r="F124" i="6" s="1"/>
  <c r="C124" i="6"/>
  <c r="N124" i="6"/>
  <c r="H124" i="6"/>
  <c r="Y129" i="6" l="1"/>
  <c r="B129" i="6"/>
  <c r="J123" i="6"/>
  <c r="K123" i="6" s="1"/>
  <c r="W123" i="6" s="1"/>
  <c r="I124" i="6"/>
  <c r="G124" i="6"/>
  <c r="D125" i="6"/>
  <c r="E125" i="6" s="1"/>
  <c r="F125" i="6" s="1"/>
  <c r="N125" i="6"/>
  <c r="G125" i="6"/>
  <c r="C125" i="6"/>
  <c r="H125" i="6"/>
  <c r="J124" i="6" l="1"/>
  <c r="K124" i="6" s="1"/>
  <c r="W124" i="6" s="1"/>
  <c r="Y130" i="6"/>
  <c r="B130" i="6"/>
  <c r="I125" i="6"/>
  <c r="J125" i="6" s="1"/>
  <c r="K125" i="6" s="1"/>
  <c r="W125" i="6" s="1"/>
  <c r="D126" i="6"/>
  <c r="E126" i="6" s="1"/>
  <c r="F126" i="6" s="1"/>
  <c r="N126" i="6"/>
  <c r="C126" i="6"/>
  <c r="H126" i="6"/>
  <c r="C127" i="6"/>
  <c r="D127" i="6"/>
  <c r="E127" i="6" s="1"/>
  <c r="F127" i="6" s="1"/>
  <c r="G127" i="6" s="1"/>
  <c r="Y131" i="6" l="1"/>
  <c r="B131" i="6"/>
  <c r="I126" i="6"/>
  <c r="G126" i="6"/>
  <c r="N127" i="6"/>
  <c r="H127" i="6"/>
  <c r="N128" i="6"/>
  <c r="I127" i="6"/>
  <c r="J126" i="6" l="1"/>
  <c r="K126" i="6" s="1"/>
  <c r="W126" i="6" s="1"/>
  <c r="Y132" i="6"/>
  <c r="B132" i="6"/>
  <c r="C128" i="6"/>
  <c r="D128" i="6"/>
  <c r="E128" i="6" s="1"/>
  <c r="F128" i="6" s="1"/>
  <c r="G128" i="6" s="1"/>
  <c r="J127" i="6"/>
  <c r="K127" i="6" s="1"/>
  <c r="W127" i="6" s="1"/>
  <c r="H128" i="6"/>
  <c r="N129" i="6"/>
  <c r="Y133" i="6" l="1"/>
  <c r="B133" i="6"/>
  <c r="I128" i="6"/>
  <c r="J128" i="6" s="1"/>
  <c r="K128" i="6" s="1"/>
  <c r="D129" i="6"/>
  <c r="E129" i="6" s="1"/>
  <c r="F129" i="6" s="1"/>
  <c r="H129" i="6"/>
  <c r="C129" i="6"/>
  <c r="Y134" i="6" l="1"/>
  <c r="B134" i="6"/>
  <c r="I129" i="6"/>
  <c r="W128" i="6"/>
  <c r="G129" i="6"/>
  <c r="N130" i="6"/>
  <c r="D130" i="6"/>
  <c r="E130" i="6" s="1"/>
  <c r="F130" i="6" s="1"/>
  <c r="C130" i="6"/>
  <c r="H130" i="6"/>
  <c r="J129" i="6" l="1"/>
  <c r="K129" i="6" s="1"/>
  <c r="W129" i="6" s="1"/>
  <c r="B135" i="6"/>
  <c r="Y135" i="6"/>
  <c r="I130" i="6"/>
  <c r="G130" i="6"/>
  <c r="D131" i="6"/>
  <c r="E131" i="6" s="1"/>
  <c r="F131" i="6" s="1"/>
  <c r="C131" i="6"/>
  <c r="N131" i="6"/>
  <c r="H131" i="6"/>
  <c r="N132" i="6"/>
  <c r="C132" i="6"/>
  <c r="J130" i="6" l="1"/>
  <c r="K130" i="6" s="1"/>
  <c r="W130" i="6" s="1"/>
  <c r="Y136" i="6"/>
  <c r="B136" i="6"/>
  <c r="I131" i="6"/>
  <c r="G131" i="6"/>
  <c r="D132" i="6"/>
  <c r="E132" i="6" s="1"/>
  <c r="F132" i="6" s="1"/>
  <c r="G132" i="6" s="1"/>
  <c r="H132" i="6"/>
  <c r="C133" i="6"/>
  <c r="J131" i="6" l="1"/>
  <c r="K131" i="6" s="1"/>
  <c r="W131" i="6" s="1"/>
  <c r="Y137" i="6"/>
  <c r="B137" i="6"/>
  <c r="D133" i="6"/>
  <c r="E133" i="6" s="1"/>
  <c r="F133" i="6" s="1"/>
  <c r="N133" i="6"/>
  <c r="I132" i="6"/>
  <c r="J132" i="6" s="1"/>
  <c r="K132" i="6" s="1"/>
  <c r="W132" i="6" s="1"/>
  <c r="H133" i="6"/>
  <c r="N134" i="6"/>
  <c r="I133" i="6" l="1"/>
  <c r="G133" i="6"/>
  <c r="D134" i="6"/>
  <c r="E134" i="6" s="1"/>
  <c r="F134" i="6" s="1"/>
  <c r="C134" i="6"/>
  <c r="H134" i="6"/>
  <c r="J133" i="6" l="1"/>
  <c r="K133" i="6" s="1"/>
  <c r="W133" i="6" s="1"/>
  <c r="I134" i="6"/>
  <c r="G134" i="6"/>
  <c r="D135" i="6"/>
  <c r="E135" i="6" s="1"/>
  <c r="F135" i="6" s="1"/>
  <c r="G135" i="6" s="1"/>
  <c r="C135" i="6"/>
  <c r="N135" i="6"/>
  <c r="H135" i="6"/>
  <c r="J134" i="6" l="1"/>
  <c r="K134" i="6" s="1"/>
  <c r="W134" i="6" s="1"/>
  <c r="I135" i="6"/>
  <c r="J135" i="6" s="1"/>
  <c r="K135" i="6" s="1"/>
  <c r="C136" i="6"/>
  <c r="N136" i="6"/>
  <c r="D136" i="6"/>
  <c r="E136" i="6" s="1"/>
  <c r="F136" i="6" s="1"/>
  <c r="H136" i="6"/>
  <c r="G136" i="6" l="1"/>
  <c r="W135" i="6"/>
  <c r="I136" i="6"/>
  <c r="H137" i="6"/>
  <c r="C137" i="6"/>
  <c r="N137" i="6"/>
  <c r="D137" i="6"/>
  <c r="E137" i="6" s="1"/>
  <c r="F137" i="6" s="1"/>
  <c r="L124" i="6" s="1"/>
  <c r="AD12" i="6"/>
  <c r="X124" i="6" l="1"/>
  <c r="M124" i="6"/>
  <c r="Q124" i="6"/>
  <c r="R124" i="6" s="1"/>
  <c r="O124" i="6"/>
  <c r="L130" i="6"/>
  <c r="L114" i="6"/>
  <c r="L115" i="6"/>
  <c r="L78" i="6"/>
  <c r="L92" i="6"/>
  <c r="L87" i="6"/>
  <c r="L72" i="6"/>
  <c r="L55" i="6"/>
  <c r="L30" i="6"/>
  <c r="L75" i="6"/>
  <c r="L69" i="6"/>
  <c r="L42" i="6"/>
  <c r="L54" i="6"/>
  <c r="L40" i="6"/>
  <c r="L134" i="6"/>
  <c r="L127" i="6"/>
  <c r="L113" i="6"/>
  <c r="L108" i="6"/>
  <c r="L100" i="6"/>
  <c r="L83" i="6"/>
  <c r="L96" i="6"/>
  <c r="L67" i="6"/>
  <c r="L53" i="6"/>
  <c r="L31" i="6"/>
  <c r="L23" i="6"/>
  <c r="L38" i="6"/>
  <c r="L25" i="6"/>
  <c r="L47" i="6"/>
  <c r="L76" i="6"/>
  <c r="L112" i="6"/>
  <c r="L122" i="6"/>
  <c r="L80" i="6"/>
  <c r="L105" i="6"/>
  <c r="L82" i="6"/>
  <c r="L106" i="6"/>
  <c r="L66" i="6"/>
  <c r="L50" i="6"/>
  <c r="L39" i="6"/>
  <c r="L26" i="6"/>
  <c r="L51" i="6"/>
  <c r="L65" i="6"/>
  <c r="L57" i="6"/>
  <c r="L33" i="6"/>
  <c r="L133" i="6"/>
  <c r="L128" i="6"/>
  <c r="L121" i="6"/>
  <c r="L104" i="6"/>
  <c r="L94" i="6"/>
  <c r="L86" i="6"/>
  <c r="L95" i="6"/>
  <c r="L37" i="6"/>
  <c r="L70" i="6"/>
  <c r="L36" i="6"/>
  <c r="L68" i="6"/>
  <c r="Q68" i="6" s="1"/>
  <c r="L18" i="6"/>
  <c r="L62" i="6"/>
  <c r="L74" i="6"/>
  <c r="L77" i="6"/>
  <c r="L129" i="6"/>
  <c r="L117" i="6"/>
  <c r="L84" i="6"/>
  <c r="L89" i="6"/>
  <c r="L88" i="6"/>
  <c r="L79" i="6"/>
  <c r="L58" i="6"/>
  <c r="L59" i="6"/>
  <c r="L32" i="6"/>
  <c r="L73" i="6"/>
  <c r="L28" i="6"/>
  <c r="L60" i="6"/>
  <c r="L45" i="6"/>
  <c r="L132" i="6"/>
  <c r="L131" i="6"/>
  <c r="L118" i="6"/>
  <c r="L110" i="6"/>
  <c r="L98" i="6"/>
  <c r="L103" i="6"/>
  <c r="L81" i="6"/>
  <c r="L85" i="6"/>
  <c r="L35" i="6"/>
  <c r="L43" i="6"/>
  <c r="L46" i="6"/>
  <c r="L24" i="6"/>
  <c r="L71" i="6"/>
  <c r="L34" i="6"/>
  <c r="L44" i="6"/>
  <c r="L135" i="6"/>
  <c r="L126" i="6"/>
  <c r="L111" i="6"/>
  <c r="L120" i="6"/>
  <c r="L93" i="6"/>
  <c r="L101" i="6"/>
  <c r="L97" i="6"/>
  <c r="L107" i="6"/>
  <c r="L22" i="6"/>
  <c r="L27" i="6"/>
  <c r="L48" i="6"/>
  <c r="L21" i="6"/>
  <c r="L41" i="6"/>
  <c r="L29" i="6"/>
  <c r="L19" i="6"/>
  <c r="X5" i="6"/>
  <c r="L109" i="6"/>
  <c r="G137" i="6"/>
  <c r="J136" i="6"/>
  <c r="K136" i="6" s="1"/>
  <c r="W136" i="6" s="1"/>
  <c r="L123" i="6"/>
  <c r="L119" i="6"/>
  <c r="L116" i="6"/>
  <c r="L99" i="6"/>
  <c r="L102" i="6"/>
  <c r="L90" i="6"/>
  <c r="L91" i="6"/>
  <c r="L56" i="6"/>
  <c r="L52" i="6"/>
  <c r="L49" i="6"/>
  <c r="L63" i="6"/>
  <c r="L61" i="6"/>
  <c r="L64" i="6"/>
  <c r="L20" i="6"/>
  <c r="L125" i="6"/>
  <c r="I137" i="6"/>
  <c r="J137" i="6" l="1"/>
  <c r="K137" i="6" s="1"/>
  <c r="W137" i="6" s="1"/>
  <c r="P124" i="6"/>
  <c r="T124" i="6" s="1"/>
  <c r="X49" i="6"/>
  <c r="M49" i="6"/>
  <c r="Q49" i="6"/>
  <c r="R49" i="6" s="1"/>
  <c r="O49" i="6"/>
  <c r="M119" i="6"/>
  <c r="O119" i="6"/>
  <c r="Q119" i="6"/>
  <c r="R119" i="6" s="1"/>
  <c r="X119" i="6"/>
  <c r="O29" i="6"/>
  <c r="M29" i="6"/>
  <c r="X29" i="6"/>
  <c r="Q29" i="6"/>
  <c r="R29" i="6" s="1"/>
  <c r="Q101" i="6"/>
  <c r="R101" i="6" s="1"/>
  <c r="X101" i="6"/>
  <c r="O101" i="6"/>
  <c r="M101" i="6"/>
  <c r="M71" i="6"/>
  <c r="Q71" i="6"/>
  <c r="R71" i="6" s="1"/>
  <c r="O71" i="6"/>
  <c r="X71" i="6"/>
  <c r="Q98" i="6"/>
  <c r="R98" i="6" s="1"/>
  <c r="X98" i="6"/>
  <c r="M98" i="6"/>
  <c r="O98" i="6"/>
  <c r="Q73" i="6"/>
  <c r="R73" i="6" s="1"/>
  <c r="O73" i="6"/>
  <c r="X73" i="6"/>
  <c r="M73" i="6"/>
  <c r="O117" i="6"/>
  <c r="Q117" i="6"/>
  <c r="R117" i="6" s="1"/>
  <c r="M117" i="6"/>
  <c r="X117" i="6"/>
  <c r="M70" i="6"/>
  <c r="X70" i="6"/>
  <c r="O70" i="6"/>
  <c r="Q70" i="6"/>
  <c r="R70" i="6" s="1"/>
  <c r="Q133" i="6"/>
  <c r="R133" i="6" s="1"/>
  <c r="M133" i="6"/>
  <c r="O133" i="6"/>
  <c r="X133" i="6"/>
  <c r="X66" i="6"/>
  <c r="M66" i="6"/>
  <c r="O66" i="6"/>
  <c r="Q66" i="6"/>
  <c r="R66" i="6" s="1"/>
  <c r="Q47" i="6"/>
  <c r="R47" i="6" s="1"/>
  <c r="M47" i="6"/>
  <c r="X47" i="6"/>
  <c r="O47" i="6"/>
  <c r="M83" i="6"/>
  <c r="X83" i="6"/>
  <c r="O83" i="6"/>
  <c r="Q83" i="6"/>
  <c r="R83" i="6" s="1"/>
  <c r="M42" i="6"/>
  <c r="Q42" i="6"/>
  <c r="R42" i="6" s="1"/>
  <c r="O42" i="6"/>
  <c r="X42" i="6"/>
  <c r="Q78" i="6"/>
  <c r="R78" i="6" s="1"/>
  <c r="M78" i="6"/>
  <c r="X78" i="6"/>
  <c r="O78" i="6"/>
  <c r="X52" i="6"/>
  <c r="O52" i="6"/>
  <c r="M52" i="6"/>
  <c r="Q52" i="6"/>
  <c r="R52" i="6" s="1"/>
  <c r="M123" i="6"/>
  <c r="X123" i="6"/>
  <c r="O123" i="6"/>
  <c r="Q123" i="6"/>
  <c r="R123" i="6" s="1"/>
  <c r="Q41" i="6"/>
  <c r="R41" i="6" s="1"/>
  <c r="X41" i="6"/>
  <c r="O41" i="6"/>
  <c r="M41" i="6"/>
  <c r="M93" i="6"/>
  <c r="X93" i="6"/>
  <c r="O93" i="6"/>
  <c r="Q93" i="6"/>
  <c r="R93" i="6" s="1"/>
  <c r="X24" i="6"/>
  <c r="Q24" i="6"/>
  <c r="R24" i="6" s="1"/>
  <c r="O24" i="6"/>
  <c r="M24" i="6"/>
  <c r="O110" i="6"/>
  <c r="X110" i="6"/>
  <c r="M110" i="6"/>
  <c r="Q110" i="6"/>
  <c r="R110" i="6" s="1"/>
  <c r="O32" i="6"/>
  <c r="X32" i="6"/>
  <c r="M32" i="6"/>
  <c r="Q32" i="6"/>
  <c r="R32" i="6" s="1"/>
  <c r="O129" i="6"/>
  <c r="Q129" i="6"/>
  <c r="R129" i="6" s="1"/>
  <c r="M129" i="6"/>
  <c r="X129" i="6"/>
  <c r="Q37" i="6"/>
  <c r="R37" i="6" s="1"/>
  <c r="M37" i="6"/>
  <c r="X37" i="6"/>
  <c r="O37" i="6"/>
  <c r="X33" i="6"/>
  <c r="Q33" i="6"/>
  <c r="R33" i="6" s="1"/>
  <c r="O33" i="6"/>
  <c r="M33" i="6"/>
  <c r="M106" i="6"/>
  <c r="O106" i="6"/>
  <c r="Q106" i="6"/>
  <c r="R106" i="6" s="1"/>
  <c r="X106" i="6"/>
  <c r="M25" i="6"/>
  <c r="Q25" i="6"/>
  <c r="R25" i="6" s="1"/>
  <c r="O25" i="6"/>
  <c r="X25" i="6"/>
  <c r="M100" i="6"/>
  <c r="X100" i="6"/>
  <c r="O100" i="6"/>
  <c r="Q100" i="6"/>
  <c r="R100" i="6" s="1"/>
  <c r="Q69" i="6"/>
  <c r="R69" i="6" s="1"/>
  <c r="O69" i="6"/>
  <c r="X69" i="6"/>
  <c r="M69" i="6"/>
  <c r="Q115" i="6"/>
  <c r="R115" i="6" s="1"/>
  <c r="X115" i="6"/>
  <c r="O115" i="6"/>
  <c r="M115" i="6"/>
  <c r="X56" i="6"/>
  <c r="Q56" i="6"/>
  <c r="R56" i="6" s="1"/>
  <c r="M56" i="6"/>
  <c r="O56" i="6"/>
  <c r="Q21" i="6"/>
  <c r="R21" i="6" s="1"/>
  <c r="X21" i="6"/>
  <c r="O21" i="6"/>
  <c r="M21" i="6"/>
  <c r="M120" i="6"/>
  <c r="X120" i="6"/>
  <c r="Q120" i="6"/>
  <c r="R120" i="6" s="1"/>
  <c r="O120" i="6"/>
  <c r="O46" i="6"/>
  <c r="X46" i="6"/>
  <c r="M46" i="6"/>
  <c r="Q46" i="6"/>
  <c r="R46" i="6" s="1"/>
  <c r="O118" i="6"/>
  <c r="X118" i="6"/>
  <c r="M118" i="6"/>
  <c r="Q118" i="6"/>
  <c r="R118" i="6" s="1"/>
  <c r="Q59" i="6"/>
  <c r="R59" i="6" s="1"/>
  <c r="O59" i="6"/>
  <c r="M59" i="6"/>
  <c r="X59" i="6"/>
  <c r="X77" i="6"/>
  <c r="O77" i="6"/>
  <c r="M77" i="6"/>
  <c r="Q77" i="6"/>
  <c r="R77" i="6" s="1"/>
  <c r="Q95" i="6"/>
  <c r="R95" i="6" s="1"/>
  <c r="X95" i="6"/>
  <c r="M95" i="6"/>
  <c r="O95" i="6"/>
  <c r="X57" i="6"/>
  <c r="O57" i="6"/>
  <c r="Q57" i="6"/>
  <c r="R57" i="6" s="1"/>
  <c r="M57" i="6"/>
  <c r="X82" i="6"/>
  <c r="O82" i="6"/>
  <c r="Q82" i="6"/>
  <c r="R82" i="6" s="1"/>
  <c r="M82" i="6"/>
  <c r="Q38" i="6"/>
  <c r="R38" i="6" s="1"/>
  <c r="X38" i="6"/>
  <c r="O38" i="6"/>
  <c r="M38" i="6"/>
  <c r="O108" i="6"/>
  <c r="X108" i="6"/>
  <c r="Q108" i="6"/>
  <c r="R108" i="6" s="1"/>
  <c r="M108" i="6"/>
  <c r="O75" i="6"/>
  <c r="Q75" i="6"/>
  <c r="R75" i="6" s="1"/>
  <c r="M75" i="6"/>
  <c r="X75" i="6"/>
  <c r="Q114" i="6"/>
  <c r="R114" i="6" s="1"/>
  <c r="X114" i="6"/>
  <c r="M114" i="6"/>
  <c r="O114" i="6"/>
  <c r="M125" i="6"/>
  <c r="O125" i="6"/>
  <c r="Q125" i="6"/>
  <c r="R125" i="6" s="1"/>
  <c r="X125" i="6"/>
  <c r="X91" i="6"/>
  <c r="Q91" i="6"/>
  <c r="R91" i="6" s="1"/>
  <c r="M91" i="6"/>
  <c r="O91" i="6"/>
  <c r="O48" i="6"/>
  <c r="X48" i="6"/>
  <c r="M48" i="6"/>
  <c r="Q48" i="6"/>
  <c r="R48" i="6" s="1"/>
  <c r="Q111" i="6"/>
  <c r="R111" i="6" s="1"/>
  <c r="M111" i="6"/>
  <c r="O111" i="6"/>
  <c r="X111" i="6"/>
  <c r="Q43" i="6"/>
  <c r="R43" i="6" s="1"/>
  <c r="X43" i="6"/>
  <c r="M43" i="6"/>
  <c r="O43" i="6"/>
  <c r="M131" i="6"/>
  <c r="O131" i="6"/>
  <c r="X131" i="6"/>
  <c r="Q131" i="6"/>
  <c r="R131" i="6" s="1"/>
  <c r="X58" i="6"/>
  <c r="O58" i="6"/>
  <c r="M58" i="6"/>
  <c r="Q58" i="6"/>
  <c r="R58" i="6" s="1"/>
  <c r="Q74" i="6"/>
  <c r="R74" i="6" s="1"/>
  <c r="M74" i="6"/>
  <c r="X74" i="6"/>
  <c r="O74" i="6"/>
  <c r="M86" i="6"/>
  <c r="O86" i="6"/>
  <c r="X86" i="6"/>
  <c r="Q86" i="6"/>
  <c r="R86" i="6" s="1"/>
  <c r="O65" i="6"/>
  <c r="M65" i="6"/>
  <c r="X65" i="6"/>
  <c r="Q65" i="6"/>
  <c r="R65" i="6" s="1"/>
  <c r="X105" i="6"/>
  <c r="M105" i="6"/>
  <c r="O105" i="6"/>
  <c r="Q105" i="6"/>
  <c r="R105" i="6" s="1"/>
  <c r="O23" i="6"/>
  <c r="X23" i="6"/>
  <c r="M23" i="6"/>
  <c r="Q23" i="6"/>
  <c r="R23" i="6" s="1"/>
  <c r="M113" i="6"/>
  <c r="O113" i="6"/>
  <c r="Q113" i="6"/>
  <c r="R113" i="6" s="1"/>
  <c r="X113" i="6"/>
  <c r="X30" i="6"/>
  <c r="O30" i="6"/>
  <c r="M30" i="6"/>
  <c r="Q30" i="6"/>
  <c r="R30" i="6" s="1"/>
  <c r="X130" i="6"/>
  <c r="Q130" i="6"/>
  <c r="R130" i="6" s="1"/>
  <c r="M130" i="6"/>
  <c r="O130" i="6"/>
  <c r="Q27" i="6"/>
  <c r="R27" i="6" s="1"/>
  <c r="M27" i="6"/>
  <c r="X27" i="6"/>
  <c r="O27" i="6"/>
  <c r="O126" i="6"/>
  <c r="Q126" i="6"/>
  <c r="R126" i="6" s="1"/>
  <c r="X126" i="6"/>
  <c r="M126" i="6"/>
  <c r="M35" i="6"/>
  <c r="X35" i="6"/>
  <c r="O35" i="6"/>
  <c r="Q35" i="6"/>
  <c r="R35" i="6" s="1"/>
  <c r="M132" i="6"/>
  <c r="O132" i="6"/>
  <c r="X132" i="6"/>
  <c r="Q132" i="6"/>
  <c r="R132" i="6" s="1"/>
  <c r="O79" i="6"/>
  <c r="X79" i="6"/>
  <c r="M79" i="6"/>
  <c r="Q79" i="6"/>
  <c r="R79" i="6" s="1"/>
  <c r="X62" i="6"/>
  <c r="O62" i="6"/>
  <c r="M62" i="6"/>
  <c r="Q62" i="6"/>
  <c r="R62" i="6" s="1"/>
  <c r="Q94" i="6"/>
  <c r="R94" i="6" s="1"/>
  <c r="X94" i="6"/>
  <c r="O94" i="6"/>
  <c r="M94" i="6"/>
  <c r="X51" i="6"/>
  <c r="O51" i="6"/>
  <c r="M51" i="6"/>
  <c r="Q51" i="6"/>
  <c r="R51" i="6" s="1"/>
  <c r="X80" i="6"/>
  <c r="M80" i="6"/>
  <c r="O80" i="6"/>
  <c r="Q80" i="6"/>
  <c r="R80" i="6" s="1"/>
  <c r="X31" i="6"/>
  <c r="M31" i="6"/>
  <c r="O31" i="6"/>
  <c r="Q31" i="6"/>
  <c r="R31" i="6" s="1"/>
  <c r="X127" i="6"/>
  <c r="O127" i="6"/>
  <c r="Q127" i="6"/>
  <c r="R127" i="6" s="1"/>
  <c r="M127" i="6"/>
  <c r="Q55" i="6"/>
  <c r="R55" i="6" s="1"/>
  <c r="M55" i="6"/>
  <c r="X55" i="6"/>
  <c r="O55" i="6"/>
  <c r="M90" i="6"/>
  <c r="X90" i="6"/>
  <c r="O90" i="6"/>
  <c r="Q90" i="6"/>
  <c r="R90" i="6" s="1"/>
  <c r="M64" i="6"/>
  <c r="X64" i="6"/>
  <c r="O64" i="6"/>
  <c r="Q64" i="6"/>
  <c r="R64" i="6" s="1"/>
  <c r="X102" i="6"/>
  <c r="O102" i="6"/>
  <c r="M102" i="6"/>
  <c r="Q102" i="6"/>
  <c r="R102" i="6" s="1"/>
  <c r="Y7" i="6" a="1"/>
  <c r="Y7" i="6" s="1"/>
  <c r="X7" i="6" a="1"/>
  <c r="X7" i="6" s="1"/>
  <c r="Q22" i="6"/>
  <c r="R22" i="6" s="1"/>
  <c r="X22" i="6"/>
  <c r="O22" i="6"/>
  <c r="M22" i="6"/>
  <c r="X135" i="6"/>
  <c r="Q135" i="6"/>
  <c r="R135" i="6" s="1"/>
  <c r="M135" i="6"/>
  <c r="O135" i="6"/>
  <c r="O85" i="6"/>
  <c r="M85" i="6"/>
  <c r="X85" i="6"/>
  <c r="Q85" i="6"/>
  <c r="R85" i="6" s="1"/>
  <c r="M45" i="6"/>
  <c r="X45" i="6"/>
  <c r="O45" i="6"/>
  <c r="Q45" i="6"/>
  <c r="R45" i="6" s="1"/>
  <c r="X88" i="6"/>
  <c r="Q88" i="6"/>
  <c r="R88" i="6" s="1"/>
  <c r="O88" i="6"/>
  <c r="M88" i="6"/>
  <c r="O18" i="6"/>
  <c r="Q18" i="6"/>
  <c r="R18" i="6" s="1"/>
  <c r="M18" i="6"/>
  <c r="X18" i="6"/>
  <c r="X104" i="6"/>
  <c r="O104" i="6"/>
  <c r="M104" i="6"/>
  <c r="Q104" i="6"/>
  <c r="R104" i="6" s="1"/>
  <c r="O26" i="6"/>
  <c r="M26" i="6"/>
  <c r="X26" i="6"/>
  <c r="Q26" i="6"/>
  <c r="R26" i="6" s="1"/>
  <c r="Q122" i="6"/>
  <c r="R122" i="6" s="1"/>
  <c r="X122" i="6"/>
  <c r="O122" i="6"/>
  <c r="M122" i="6"/>
  <c r="Q53" i="6"/>
  <c r="R53" i="6" s="1"/>
  <c r="X53" i="6"/>
  <c r="M53" i="6"/>
  <c r="O53" i="6"/>
  <c r="O134" i="6"/>
  <c r="Q134" i="6"/>
  <c r="R134" i="6" s="1"/>
  <c r="X134" i="6"/>
  <c r="M134" i="6"/>
  <c r="X72" i="6"/>
  <c r="O72" i="6"/>
  <c r="M72" i="6"/>
  <c r="Q72" i="6"/>
  <c r="R72" i="6" s="1"/>
  <c r="U124" i="6"/>
  <c r="O20" i="6"/>
  <c r="M20" i="6"/>
  <c r="X20" i="6"/>
  <c r="Q20" i="6"/>
  <c r="R20" i="6" s="1"/>
  <c r="O61" i="6"/>
  <c r="X61" i="6"/>
  <c r="M61" i="6"/>
  <c r="Q61" i="6"/>
  <c r="R61" i="6" s="1"/>
  <c r="M99" i="6"/>
  <c r="X99" i="6"/>
  <c r="Q99" i="6"/>
  <c r="R99" i="6" s="1"/>
  <c r="O99" i="6"/>
  <c r="L136" i="6"/>
  <c r="X107" i="6"/>
  <c r="M107" i="6"/>
  <c r="O107" i="6"/>
  <c r="Q107" i="6"/>
  <c r="R107" i="6" s="1"/>
  <c r="Q44" i="6"/>
  <c r="R44" i="6" s="1"/>
  <c r="X44" i="6"/>
  <c r="O44" i="6"/>
  <c r="M44" i="6"/>
  <c r="X81" i="6"/>
  <c r="O81" i="6"/>
  <c r="Q81" i="6"/>
  <c r="R81" i="6" s="1"/>
  <c r="M81" i="6"/>
  <c r="Q60" i="6"/>
  <c r="R60" i="6" s="1"/>
  <c r="X60" i="6"/>
  <c r="O60" i="6"/>
  <c r="M60" i="6"/>
  <c r="M89" i="6"/>
  <c r="O89" i="6"/>
  <c r="Q89" i="6"/>
  <c r="R89" i="6" s="1"/>
  <c r="X89" i="6"/>
  <c r="O68" i="6"/>
  <c r="X68" i="6"/>
  <c r="M68" i="6"/>
  <c r="R68" i="6"/>
  <c r="M121" i="6"/>
  <c r="X121" i="6"/>
  <c r="O121" i="6"/>
  <c r="Q121" i="6"/>
  <c r="R121" i="6" s="1"/>
  <c r="Q39" i="6"/>
  <c r="R39" i="6" s="1"/>
  <c r="X39" i="6"/>
  <c r="M39" i="6"/>
  <c r="O39" i="6"/>
  <c r="Q112" i="6"/>
  <c r="R112" i="6" s="1"/>
  <c r="M112" i="6"/>
  <c r="X112" i="6"/>
  <c r="O112" i="6"/>
  <c r="M67" i="6"/>
  <c r="O67" i="6"/>
  <c r="X67" i="6"/>
  <c r="Q67" i="6"/>
  <c r="R67" i="6" s="1"/>
  <c r="M40" i="6"/>
  <c r="Q40" i="6"/>
  <c r="R40" i="6" s="1"/>
  <c r="O40" i="6"/>
  <c r="X40" i="6"/>
  <c r="M87" i="6"/>
  <c r="O87" i="6"/>
  <c r="Q87" i="6"/>
  <c r="R87" i="6" s="1"/>
  <c r="X87" i="6"/>
  <c r="O109" i="6"/>
  <c r="Q109" i="6"/>
  <c r="R109" i="6" s="1"/>
  <c r="X109" i="6"/>
  <c r="M109" i="6"/>
  <c r="O63" i="6"/>
  <c r="M63" i="6"/>
  <c r="X63" i="6"/>
  <c r="Q63" i="6"/>
  <c r="R63" i="6" s="1"/>
  <c r="O116" i="6"/>
  <c r="X116" i="6"/>
  <c r="M116" i="6"/>
  <c r="Q116" i="6"/>
  <c r="R116" i="6" s="1"/>
  <c r="Q19" i="6"/>
  <c r="R19" i="6" s="1"/>
  <c r="X19" i="6"/>
  <c r="O19" i="6"/>
  <c r="M19" i="6"/>
  <c r="X97" i="6"/>
  <c r="M97" i="6"/>
  <c r="O97" i="6"/>
  <c r="Q97" i="6"/>
  <c r="R97" i="6" s="1"/>
  <c r="X34" i="6"/>
  <c r="M34" i="6"/>
  <c r="O34" i="6"/>
  <c r="Q34" i="6"/>
  <c r="R34" i="6" s="1"/>
  <c r="X103" i="6"/>
  <c r="O103" i="6"/>
  <c r="Q103" i="6"/>
  <c r="R103" i="6" s="1"/>
  <c r="M103" i="6"/>
  <c r="Q28" i="6"/>
  <c r="R28" i="6" s="1"/>
  <c r="O28" i="6"/>
  <c r="X28" i="6"/>
  <c r="M28" i="6"/>
  <c r="O84" i="6"/>
  <c r="Q84" i="6"/>
  <c r="R84" i="6" s="1"/>
  <c r="M84" i="6"/>
  <c r="X84" i="6"/>
  <c r="O36" i="6"/>
  <c r="X36" i="6"/>
  <c r="M36" i="6"/>
  <c r="Q36" i="6"/>
  <c r="R36" i="6" s="1"/>
  <c r="O128" i="6"/>
  <c r="X128" i="6"/>
  <c r="Q128" i="6"/>
  <c r="R128" i="6" s="1"/>
  <c r="M128" i="6"/>
  <c r="Q50" i="6"/>
  <c r="R50" i="6" s="1"/>
  <c r="O50" i="6"/>
  <c r="X50" i="6"/>
  <c r="M50" i="6"/>
  <c r="Q76" i="6"/>
  <c r="R76" i="6" s="1"/>
  <c r="X76" i="6"/>
  <c r="O76" i="6"/>
  <c r="M76" i="6"/>
  <c r="M96" i="6"/>
  <c r="X96" i="6"/>
  <c r="O96" i="6"/>
  <c r="Q96" i="6"/>
  <c r="R96" i="6" s="1"/>
  <c r="Q54" i="6"/>
  <c r="R54" i="6" s="1"/>
  <c r="O54" i="6"/>
  <c r="X54" i="6"/>
  <c r="M54" i="6"/>
  <c r="O92" i="6"/>
  <c r="Q92" i="6"/>
  <c r="R92" i="6" s="1"/>
  <c r="M92" i="6"/>
  <c r="X92" i="6"/>
  <c r="AC9" i="6"/>
  <c r="AC10" i="6"/>
  <c r="AC11" i="6" s="1"/>
  <c r="AC12" i="6" s="1"/>
  <c r="AC13" i="6" s="1"/>
  <c r="AC14" i="6" s="1"/>
  <c r="L137" i="6"/>
  <c r="P120" i="6" l="1"/>
  <c r="T120" i="6" s="1"/>
  <c r="U93" i="6"/>
  <c r="U123" i="6"/>
  <c r="P70" i="6"/>
  <c r="T70" i="6" s="1"/>
  <c r="U83" i="6"/>
  <c r="U70" i="6"/>
  <c r="P71" i="6"/>
  <c r="P69" i="6"/>
  <c r="P68" i="6"/>
  <c r="T68" i="6" s="1"/>
  <c r="P18" i="6"/>
  <c r="U26" i="6"/>
  <c r="U113" i="6"/>
  <c r="U125" i="6"/>
  <c r="P75" i="6"/>
  <c r="T75" i="6" s="1"/>
  <c r="U105" i="6"/>
  <c r="P78" i="6"/>
  <c r="T78" i="6" s="1"/>
  <c r="P105" i="6"/>
  <c r="U129" i="6"/>
  <c r="U66" i="6"/>
  <c r="U50" i="6"/>
  <c r="U28" i="6"/>
  <c r="U19" i="6"/>
  <c r="U60" i="6"/>
  <c r="U44" i="6"/>
  <c r="U29" i="6"/>
  <c r="P49" i="6"/>
  <c r="T49" i="6" s="1"/>
  <c r="P50" i="6"/>
  <c r="P28" i="6"/>
  <c r="T28" i="6" s="1"/>
  <c r="U120" i="6"/>
  <c r="P25" i="6"/>
  <c r="T25" i="6" s="1"/>
  <c r="P93" i="6"/>
  <c r="T93" i="6" s="1"/>
  <c r="P123" i="6"/>
  <c r="T123" i="6" s="1"/>
  <c r="P83" i="6"/>
  <c r="U127" i="6"/>
  <c r="P21" i="6"/>
  <c r="T21" i="6" s="1"/>
  <c r="P115" i="6"/>
  <c r="T115" i="6" s="1"/>
  <c r="P24" i="6"/>
  <c r="T24" i="6" s="1"/>
  <c r="P41" i="6"/>
  <c r="T41" i="6" s="1"/>
  <c r="P101" i="6"/>
  <c r="T101" i="6" s="1"/>
  <c r="U108" i="6"/>
  <c r="P102" i="6"/>
  <c r="T102" i="6" s="1"/>
  <c r="U82" i="6"/>
  <c r="U45" i="6"/>
  <c r="P94" i="6"/>
  <c r="T94" i="6" s="1"/>
  <c r="P42" i="6"/>
  <c r="T42" i="6" s="1"/>
  <c r="P76" i="6"/>
  <c r="T76" i="6" s="1"/>
  <c r="U128" i="6"/>
  <c r="U103" i="6"/>
  <c r="U81" i="6"/>
  <c r="P85" i="6"/>
  <c r="T85" i="6" s="1"/>
  <c r="U109" i="6"/>
  <c r="P54" i="6"/>
  <c r="T54" i="6" s="1"/>
  <c r="P103" i="6"/>
  <c r="T103" i="6" s="1"/>
  <c r="P81" i="6"/>
  <c r="T81" i="6" s="1"/>
  <c r="P122" i="6"/>
  <c r="T122" i="6" s="1"/>
  <c r="P88" i="6"/>
  <c r="T88" i="6" s="1"/>
  <c r="P22" i="6"/>
  <c r="T22" i="6" s="1"/>
  <c r="P92" i="6"/>
  <c r="P36" i="6"/>
  <c r="T36" i="6" s="1"/>
  <c r="P63" i="6"/>
  <c r="T63" i="6" s="1"/>
  <c r="U39" i="6"/>
  <c r="U92" i="6"/>
  <c r="P37" i="6"/>
  <c r="P47" i="6"/>
  <c r="T47" i="6" s="1"/>
  <c r="P98" i="6"/>
  <c r="T98" i="6" s="1"/>
  <c r="P80" i="6"/>
  <c r="T80" i="6" s="1"/>
  <c r="P111" i="6"/>
  <c r="T111" i="6" s="1"/>
  <c r="P133" i="6"/>
  <c r="T133" i="6" s="1"/>
  <c r="U27" i="6"/>
  <c r="P65" i="6"/>
  <c r="T65" i="6" s="1"/>
  <c r="U74" i="6"/>
  <c r="U111" i="6"/>
  <c r="P108" i="6"/>
  <c r="T108" i="6" s="1"/>
  <c r="U21" i="6"/>
  <c r="U115" i="6"/>
  <c r="U37" i="6"/>
  <c r="P97" i="6"/>
  <c r="T97" i="6" s="1"/>
  <c r="P107" i="6"/>
  <c r="T107" i="6" s="1"/>
  <c r="U61" i="6"/>
  <c r="P45" i="6"/>
  <c r="T45" i="6" s="1"/>
  <c r="U36" i="6"/>
  <c r="P39" i="6"/>
  <c r="U68" i="6"/>
  <c r="U102" i="6"/>
  <c r="U99" i="6"/>
  <c r="U85" i="6"/>
  <c r="U80" i="6"/>
  <c r="U35" i="6"/>
  <c r="P27" i="6"/>
  <c r="T27" i="6" s="1"/>
  <c r="U65" i="6"/>
  <c r="P74" i="6"/>
  <c r="T74" i="6" s="1"/>
  <c r="U131" i="6"/>
  <c r="P35" i="6"/>
  <c r="T35" i="6" s="1"/>
  <c r="P100" i="6"/>
  <c r="T100" i="6" s="1"/>
  <c r="U106" i="6"/>
  <c r="S124" i="6"/>
  <c r="V124" i="6" s="1"/>
  <c r="U41" i="6"/>
  <c r="U47" i="6"/>
  <c r="U133" i="6"/>
  <c r="P117" i="6"/>
  <c r="T117" i="6" s="1"/>
  <c r="U101" i="6"/>
  <c r="U76" i="6"/>
  <c r="P128" i="6"/>
  <c r="P84" i="6"/>
  <c r="T84" i="6" s="1"/>
  <c r="P116" i="6"/>
  <c r="T116" i="6" s="1"/>
  <c r="P109" i="6"/>
  <c r="T109" i="6" s="1"/>
  <c r="P31" i="6"/>
  <c r="P38" i="6"/>
  <c r="T38" i="6" s="1"/>
  <c r="U57" i="6"/>
  <c r="P33" i="6"/>
  <c r="T33" i="6" s="1"/>
  <c r="P66" i="6"/>
  <c r="P61" i="6"/>
  <c r="T61" i="6" s="1"/>
  <c r="U54" i="6"/>
  <c r="P26" i="6"/>
  <c r="T26" i="6" s="1"/>
  <c r="U69" i="6"/>
  <c r="U78" i="6"/>
  <c r="P29" i="6"/>
  <c r="T29" i="6" s="1"/>
  <c r="P87" i="6"/>
  <c r="P67" i="6"/>
  <c r="U104" i="6"/>
  <c r="U79" i="6"/>
  <c r="U30" i="6"/>
  <c r="U23" i="6"/>
  <c r="P91" i="6"/>
  <c r="P114" i="6"/>
  <c r="P95" i="6"/>
  <c r="U46" i="6"/>
  <c r="U100" i="6"/>
  <c r="U32" i="6"/>
  <c r="U52" i="6"/>
  <c r="U119" i="6"/>
  <c r="U97" i="6"/>
  <c r="U116" i="6"/>
  <c r="P112" i="6"/>
  <c r="U121" i="6"/>
  <c r="U107" i="6"/>
  <c r="P20" i="6"/>
  <c r="U134" i="6"/>
  <c r="P104" i="6"/>
  <c r="U88" i="6"/>
  <c r="U64" i="6"/>
  <c r="P127" i="6"/>
  <c r="P30" i="6"/>
  <c r="P131" i="6"/>
  <c r="U91" i="6"/>
  <c r="P82" i="6"/>
  <c r="P59" i="6"/>
  <c r="P106" i="6"/>
  <c r="U24" i="6"/>
  <c r="P52" i="6"/>
  <c r="U42" i="6"/>
  <c r="U117" i="6"/>
  <c r="P119" i="6"/>
  <c r="P40" i="6"/>
  <c r="P121" i="6"/>
  <c r="U89" i="6"/>
  <c r="P134" i="6"/>
  <c r="U122" i="6"/>
  <c r="U22" i="6"/>
  <c r="P64" i="6"/>
  <c r="U94" i="6"/>
  <c r="P79" i="6"/>
  <c r="P23" i="6"/>
  <c r="U114" i="6"/>
  <c r="U95" i="6"/>
  <c r="U59" i="6"/>
  <c r="P46" i="6"/>
  <c r="P32" i="6"/>
  <c r="U98" i="6"/>
  <c r="U84" i="6"/>
  <c r="U40" i="6"/>
  <c r="U112" i="6"/>
  <c r="P89" i="6"/>
  <c r="U72" i="6"/>
  <c r="P53" i="6"/>
  <c r="P135" i="6"/>
  <c r="P55" i="6"/>
  <c r="U31" i="6"/>
  <c r="U51" i="6"/>
  <c r="U62" i="6"/>
  <c r="U132" i="6"/>
  <c r="P130" i="6"/>
  <c r="U86" i="6"/>
  <c r="U58" i="6"/>
  <c r="P43" i="6"/>
  <c r="U48" i="6"/>
  <c r="U77" i="6"/>
  <c r="U118" i="6"/>
  <c r="P56" i="6"/>
  <c r="U110" i="6"/>
  <c r="U49" i="6"/>
  <c r="U96" i="6"/>
  <c r="U34" i="6"/>
  <c r="U63" i="6"/>
  <c r="U67" i="6"/>
  <c r="M136" i="6"/>
  <c r="X136" i="6"/>
  <c r="O136" i="6"/>
  <c r="Q136" i="6"/>
  <c r="R136" i="6" s="1"/>
  <c r="P72" i="6"/>
  <c r="U18" i="6"/>
  <c r="U135" i="6"/>
  <c r="U90" i="6"/>
  <c r="P51" i="6"/>
  <c r="P62" i="6"/>
  <c r="P132" i="6"/>
  <c r="U126" i="6"/>
  <c r="U130" i="6"/>
  <c r="P113" i="6"/>
  <c r="P86" i="6"/>
  <c r="P58" i="6"/>
  <c r="P125" i="6"/>
  <c r="U75" i="6"/>
  <c r="P57" i="6"/>
  <c r="P77" i="6"/>
  <c r="U56" i="6"/>
  <c r="U25" i="6"/>
  <c r="U33" i="6"/>
  <c r="P73" i="6"/>
  <c r="U71" i="6"/>
  <c r="P96" i="6"/>
  <c r="P34" i="6"/>
  <c r="P19" i="6"/>
  <c r="U87" i="6"/>
  <c r="P60" i="6"/>
  <c r="P44" i="6"/>
  <c r="P99" i="6"/>
  <c r="U20" i="6"/>
  <c r="U53" i="6"/>
  <c r="P90" i="6"/>
  <c r="U55" i="6"/>
  <c r="P126" i="6"/>
  <c r="U43" i="6"/>
  <c r="P48" i="6"/>
  <c r="U38" i="6"/>
  <c r="P118" i="6"/>
  <c r="P129" i="6"/>
  <c r="P110" i="6"/>
  <c r="U73" i="6"/>
  <c r="Q137" i="6"/>
  <c r="R137" i="6" s="1"/>
  <c r="L12" i="4" a="1"/>
  <c r="L12" i="4" s="1"/>
  <c r="O137" i="6"/>
  <c r="X137" i="6"/>
  <c r="M137" i="6"/>
  <c r="Y10" i="6"/>
  <c r="S83" i="6" l="1"/>
  <c r="V83" i="6" s="1"/>
  <c r="S70" i="6"/>
  <c r="V70" i="6" s="1"/>
  <c r="S105" i="6"/>
  <c r="V105" i="6" s="1"/>
  <c r="S93" i="6"/>
  <c r="V93" i="6" s="1"/>
  <c r="T83" i="6"/>
  <c r="T105" i="6"/>
  <c r="S120" i="6"/>
  <c r="V120" i="6" s="1"/>
  <c r="S115" i="6"/>
  <c r="V115" i="6" s="1"/>
  <c r="S78" i="6"/>
  <c r="V78" i="6" s="1"/>
  <c r="S28" i="6"/>
  <c r="V28" i="6" s="1"/>
  <c r="L18" i="4" a="1"/>
  <c r="L18" i="4" s="1"/>
  <c r="S66" i="6"/>
  <c r="V66" i="6" s="1"/>
  <c r="S123" i="6"/>
  <c r="V123" i="6" s="1"/>
  <c r="S39" i="6"/>
  <c r="V39" i="6" s="1"/>
  <c r="S50" i="6"/>
  <c r="V50" i="6" s="1"/>
  <c r="S26" i="6"/>
  <c r="V26" i="6" s="1"/>
  <c r="T50" i="6"/>
  <c r="S109" i="6"/>
  <c r="V109" i="6" s="1"/>
  <c r="S29" i="6"/>
  <c r="V29" i="6" s="1"/>
  <c r="T39" i="6"/>
  <c r="S128" i="6"/>
  <c r="V128" i="6" s="1"/>
  <c r="S54" i="6"/>
  <c r="V54" i="6" s="1"/>
  <c r="S45" i="6"/>
  <c r="V45" i="6" s="1"/>
  <c r="S68" i="6"/>
  <c r="V68" i="6" s="1"/>
  <c r="S103" i="6"/>
  <c r="V103" i="6" s="1"/>
  <c r="S37" i="6"/>
  <c r="V37" i="6" s="1"/>
  <c r="S111" i="6"/>
  <c r="V111" i="6" s="1"/>
  <c r="S36" i="6"/>
  <c r="V36" i="6" s="1"/>
  <c r="S108" i="6"/>
  <c r="V108" i="6" s="1"/>
  <c r="S81" i="6"/>
  <c r="V81" i="6" s="1"/>
  <c r="T37" i="6"/>
  <c r="S35" i="6"/>
  <c r="V35" i="6" s="1"/>
  <c r="T128" i="6"/>
  <c r="S65" i="6"/>
  <c r="V65" i="6" s="1"/>
  <c r="S92" i="6"/>
  <c r="V92" i="6" s="1"/>
  <c r="S80" i="6"/>
  <c r="V80" i="6" s="1"/>
  <c r="S74" i="6"/>
  <c r="V74" i="6" s="1"/>
  <c r="S61" i="6"/>
  <c r="V61" i="6" s="1"/>
  <c r="T66" i="6"/>
  <c r="S84" i="6"/>
  <c r="V84" i="6" s="1"/>
  <c r="S41" i="6"/>
  <c r="V41" i="6" s="1"/>
  <c r="T92" i="6"/>
  <c r="S22" i="6"/>
  <c r="V22" i="6" s="1"/>
  <c r="S75" i="6"/>
  <c r="V75" i="6" s="1"/>
  <c r="S27" i="6"/>
  <c r="V27" i="6" s="1"/>
  <c r="S101" i="6"/>
  <c r="V101" i="6" s="1"/>
  <c r="S102" i="6"/>
  <c r="V102" i="6" s="1"/>
  <c r="S24" i="6"/>
  <c r="V24" i="6" s="1"/>
  <c r="S31" i="6"/>
  <c r="V31" i="6" s="1"/>
  <c r="S76" i="6"/>
  <c r="V76" i="6" s="1"/>
  <c r="S42" i="6"/>
  <c r="V42" i="6" s="1"/>
  <c r="S85" i="6"/>
  <c r="V85" i="6" s="1"/>
  <c r="S21" i="6"/>
  <c r="V21" i="6" s="1"/>
  <c r="S117" i="6"/>
  <c r="V117" i="6" s="1"/>
  <c r="S133" i="6"/>
  <c r="V133" i="6" s="1"/>
  <c r="S98" i="6"/>
  <c r="S100" i="6"/>
  <c r="V100" i="6" s="1"/>
  <c r="S88" i="6"/>
  <c r="V88" i="6" s="1"/>
  <c r="S33" i="6"/>
  <c r="V33" i="6" s="1"/>
  <c r="S97" i="6"/>
  <c r="V97" i="6" s="1"/>
  <c r="S94" i="6"/>
  <c r="V94" i="6" s="1"/>
  <c r="S122" i="6"/>
  <c r="V122" i="6" s="1"/>
  <c r="S47" i="6"/>
  <c r="V47" i="6" s="1"/>
  <c r="S38" i="6"/>
  <c r="V38" i="6" s="1"/>
  <c r="S25" i="6"/>
  <c r="V25" i="6" s="1"/>
  <c r="T31" i="6"/>
  <c r="S49" i="6"/>
  <c r="V49" i="6" s="1"/>
  <c r="S63" i="6"/>
  <c r="V63" i="6" s="1"/>
  <c r="S116" i="6"/>
  <c r="V116" i="6" s="1"/>
  <c r="S107" i="6"/>
  <c r="V107" i="6" s="1"/>
  <c r="T118" i="6"/>
  <c r="S118" i="6"/>
  <c r="V118" i="6" s="1"/>
  <c r="T19" i="6"/>
  <c r="S19" i="6"/>
  <c r="V19" i="6" s="1"/>
  <c r="S86" i="6"/>
  <c r="V86" i="6" s="1"/>
  <c r="T86" i="6"/>
  <c r="T89" i="6"/>
  <c r="S89" i="6"/>
  <c r="V89" i="6" s="1"/>
  <c r="T30" i="6"/>
  <c r="S30" i="6"/>
  <c r="V30" i="6" s="1"/>
  <c r="S69" i="6"/>
  <c r="V69" i="6" s="1"/>
  <c r="T69" i="6"/>
  <c r="T113" i="6"/>
  <c r="S113" i="6"/>
  <c r="V113" i="6" s="1"/>
  <c r="T64" i="6"/>
  <c r="S64" i="6"/>
  <c r="V64" i="6" s="1"/>
  <c r="T52" i="6"/>
  <c r="S52" i="6"/>
  <c r="V52" i="6" s="1"/>
  <c r="T127" i="6"/>
  <c r="S127" i="6"/>
  <c r="V127" i="6" s="1"/>
  <c r="T112" i="6"/>
  <c r="S112" i="6"/>
  <c r="V112" i="6" s="1"/>
  <c r="S34" i="6"/>
  <c r="V34" i="6" s="1"/>
  <c r="T34" i="6"/>
  <c r="T48" i="6"/>
  <c r="S48" i="6"/>
  <c r="V48" i="6" s="1"/>
  <c r="T96" i="6"/>
  <c r="S96" i="6"/>
  <c r="V96" i="6" s="1"/>
  <c r="T72" i="6"/>
  <c r="S72" i="6"/>
  <c r="V72" i="6" s="1"/>
  <c r="T71" i="6"/>
  <c r="S71" i="6"/>
  <c r="V71" i="6" s="1"/>
  <c r="S43" i="6"/>
  <c r="V43" i="6" s="1"/>
  <c r="T43" i="6"/>
  <c r="T55" i="6"/>
  <c r="S55" i="6"/>
  <c r="V55" i="6" s="1"/>
  <c r="S121" i="6"/>
  <c r="V121" i="6" s="1"/>
  <c r="T121" i="6"/>
  <c r="S67" i="6"/>
  <c r="V67" i="6" s="1"/>
  <c r="T67" i="6"/>
  <c r="T77" i="6"/>
  <c r="S77" i="6"/>
  <c r="V77" i="6" s="1"/>
  <c r="T135" i="6"/>
  <c r="S135" i="6"/>
  <c r="V135" i="6" s="1"/>
  <c r="T40" i="6"/>
  <c r="S40" i="6"/>
  <c r="V40" i="6" s="1"/>
  <c r="T106" i="6"/>
  <c r="S106" i="6"/>
  <c r="V106" i="6" s="1"/>
  <c r="T87" i="6"/>
  <c r="S87" i="6"/>
  <c r="V87" i="6" s="1"/>
  <c r="T126" i="6"/>
  <c r="S126" i="6"/>
  <c r="V126" i="6" s="1"/>
  <c r="T132" i="6"/>
  <c r="S132" i="6"/>
  <c r="V132" i="6" s="1"/>
  <c r="T56" i="6"/>
  <c r="S56" i="6"/>
  <c r="V56" i="6" s="1"/>
  <c r="S53" i="6"/>
  <c r="V53" i="6" s="1"/>
  <c r="T53" i="6"/>
  <c r="T59" i="6"/>
  <c r="S59" i="6"/>
  <c r="V59" i="6" s="1"/>
  <c r="T104" i="6"/>
  <c r="S104" i="6"/>
  <c r="V104" i="6" s="1"/>
  <c r="T44" i="6"/>
  <c r="S44" i="6"/>
  <c r="V44" i="6" s="1"/>
  <c r="T62" i="6"/>
  <c r="S62" i="6"/>
  <c r="V62" i="6" s="1"/>
  <c r="L16" i="4" a="1"/>
  <c r="L16" i="4" s="1"/>
  <c r="U136" i="6"/>
  <c r="L14" i="4" s="1" a="1"/>
  <c r="L14" i="4" s="1"/>
  <c r="T130" i="6"/>
  <c r="S130" i="6"/>
  <c r="V130" i="6" s="1"/>
  <c r="S32" i="6"/>
  <c r="V32" i="6" s="1"/>
  <c r="T32" i="6"/>
  <c r="T82" i="6"/>
  <c r="S82" i="6"/>
  <c r="V82" i="6" s="1"/>
  <c r="S95" i="6"/>
  <c r="V95" i="6" s="1"/>
  <c r="T95" i="6"/>
  <c r="S110" i="6"/>
  <c r="V110" i="6" s="1"/>
  <c r="T110" i="6"/>
  <c r="T90" i="6"/>
  <c r="S90" i="6"/>
  <c r="V90" i="6" s="1"/>
  <c r="T60" i="6"/>
  <c r="S60" i="6"/>
  <c r="V60" i="6" s="1"/>
  <c r="T73" i="6"/>
  <c r="S73" i="6"/>
  <c r="V73" i="6" s="1"/>
  <c r="T125" i="6"/>
  <c r="S125" i="6"/>
  <c r="V125" i="6" s="1"/>
  <c r="S51" i="6"/>
  <c r="V51" i="6" s="1"/>
  <c r="T51" i="6"/>
  <c r="P136" i="6"/>
  <c r="S46" i="6"/>
  <c r="V46" i="6" s="1"/>
  <c r="T46" i="6"/>
  <c r="T23" i="6"/>
  <c r="S23" i="6"/>
  <c r="V23" i="6" s="1"/>
  <c r="S134" i="6"/>
  <c r="V134" i="6" s="1"/>
  <c r="T134" i="6"/>
  <c r="S119" i="6"/>
  <c r="V119" i="6" s="1"/>
  <c r="T119" i="6"/>
  <c r="T20" i="6"/>
  <c r="S20" i="6"/>
  <c r="V20" i="6" s="1"/>
  <c r="S114" i="6"/>
  <c r="V114" i="6" s="1"/>
  <c r="T114" i="6"/>
  <c r="T99" i="6"/>
  <c r="S99" i="6"/>
  <c r="V99" i="6" s="1"/>
  <c r="T57" i="6"/>
  <c r="S57" i="6"/>
  <c r="V57" i="6" s="1"/>
  <c r="T129" i="6"/>
  <c r="S129" i="6"/>
  <c r="V129" i="6" s="1"/>
  <c r="S18" i="6"/>
  <c r="V18" i="6" s="1"/>
  <c r="T18" i="6"/>
  <c r="T58" i="6"/>
  <c r="S58" i="6"/>
  <c r="V58" i="6" s="1"/>
  <c r="T79" i="6"/>
  <c r="S79" i="6"/>
  <c r="V79" i="6" s="1"/>
  <c r="T131" i="6"/>
  <c r="S131" i="6"/>
  <c r="V131" i="6" s="1"/>
  <c r="T91" i="6"/>
  <c r="S91" i="6"/>
  <c r="V91" i="6" s="1"/>
  <c r="P137" i="6"/>
  <c r="T137" i="6" s="1"/>
  <c r="U137" i="6"/>
  <c r="L17" i="4" l="1" a="1"/>
  <c r="L17" i="4" s="1"/>
  <c r="L13" i="4" a="1"/>
  <c r="L13" i="4" s="1"/>
  <c r="V98" i="6"/>
  <c r="L15" i="4" s="1" a="1"/>
  <c r="L15" i="4" s="1"/>
  <c r="L19" i="4" a="1"/>
  <c r="L19" i="4" s="1"/>
  <c r="S136" i="6"/>
  <c r="V136" i="6" s="1"/>
  <c r="T136" i="6"/>
  <c r="S137" i="6"/>
  <c r="V137" i="6" l="1"/>
  <c r="AD10" i="6" s="1"/>
  <c r="AD14" i="6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<sst xmlns="http://schemas.openxmlformats.org/spreadsheetml/2006/main" count="183" uniqueCount="148">
  <si>
    <t>m</t>
  </si>
  <si>
    <t>H_a</t>
  </si>
  <si>
    <t>H_J</t>
  </si>
  <si>
    <t>vertical distance from channel bed to top of jam</t>
  </si>
  <si>
    <t>vertical distance from channel bed to jam lower edge</t>
  </si>
  <si>
    <t>h_0/h_J</t>
  </si>
  <si>
    <t>[]</t>
  </si>
  <si>
    <t>ratio of uniform flow depth (far downstream of jam)</t>
  </si>
  <si>
    <t>to jam-generated upstream flow depth</t>
  </si>
  <si>
    <t>unobstructed channel</t>
  </si>
  <si>
    <t>Example values:</t>
  </si>
  <si>
    <t>upstream depth 2x uniform flow</t>
  </si>
  <si>
    <t xml:space="preserve">solid gate </t>
  </si>
  <si>
    <t>m/s^2</t>
  </si>
  <si>
    <t>slope</t>
  </si>
  <si>
    <t>bankfull depth</t>
  </si>
  <si>
    <t>channel bottom width</t>
  </si>
  <si>
    <t>channel top width at bankfull depth</t>
  </si>
  <si>
    <t>overbank width 1 m above bankfull depth</t>
  </si>
  <si>
    <t>h0/Hbf</t>
  </si>
  <si>
    <t>S</t>
  </si>
  <si>
    <t>H_bf</t>
  </si>
  <si>
    <t>B_0</t>
  </si>
  <si>
    <t>B_bf</t>
  </si>
  <si>
    <t>B_overbank</t>
  </si>
  <si>
    <t>gravitational acceleration</t>
  </si>
  <si>
    <t>C_A</t>
  </si>
  <si>
    <t>jam accumulation factor (Follett et al. 2020)</t>
  </si>
  <si>
    <t xml:space="preserve"> Calculated Parameters</t>
  </si>
  <si>
    <t>Channel Parameters</t>
  </si>
  <si>
    <t>Jam Parameters</t>
  </si>
  <si>
    <t>Parameters input by user on prev. sheet</t>
  </si>
  <si>
    <t>tan theta_1</t>
  </si>
  <si>
    <t>angle for in-bank channel (h&lt;H_bf)</t>
  </si>
  <si>
    <t>angle for overbank channel (h&gt;H_bf)</t>
  </si>
  <si>
    <t>tan theta_2</t>
  </si>
  <si>
    <t>Qbf</t>
  </si>
  <si>
    <t>m3/s</t>
  </si>
  <si>
    <t>m/s</t>
  </si>
  <si>
    <t>Ubf</t>
  </si>
  <si>
    <t>m2</t>
  </si>
  <si>
    <t>Abf</t>
  </si>
  <si>
    <t>Fr, bf</t>
  </si>
  <si>
    <t>Cp0</t>
  </si>
  <si>
    <t>gate coefficient (Malcherek 2018, Follett et al. 2021)</t>
  </si>
  <si>
    <t>Cb</t>
  </si>
  <si>
    <t>bottom coefficient (Malcherek 2018, Follett et al. 2021)</t>
  </si>
  <si>
    <t>m2/s</t>
  </si>
  <si>
    <t>B(z) m</t>
  </si>
  <si>
    <t>to upstream flow depth generated by channel spanning jam (H_a=0)</t>
  </si>
  <si>
    <t>ref. h0</t>
  </si>
  <si>
    <t>cell no. just less than value in col. K</t>
  </si>
  <si>
    <t>linear interpolation between 2 points</t>
  </si>
  <si>
    <t>ref. Q0</t>
  </si>
  <si>
    <t>found h0</t>
  </si>
  <si>
    <t>int. Bdh (h0)</t>
  </si>
  <si>
    <t>int. Bdh (hJ) m2</t>
  </si>
  <si>
    <t>int. yB(hJ)</t>
  </si>
  <si>
    <t>int. yB(h0)</t>
  </si>
  <si>
    <t>Vbw m3</t>
  </si>
  <si>
    <t>Lbw</t>
  </si>
  <si>
    <t>Output Figures</t>
  </si>
  <si>
    <t>Backwater storage (above uniform flow volume) with relative discharge</t>
  </si>
  <si>
    <t>HJ/HBF</t>
  </si>
  <si>
    <t>H0/HBF</t>
  </si>
  <si>
    <t xml:space="preserve">Water depth upstream of jam, relative to channel bankfull depth           </t>
  </si>
  <si>
    <t>Raw Slider Output</t>
  </si>
  <si>
    <t>Desired spacing 0-2 with 0.02, but slider can only ouput minimum spacing of 1</t>
  </si>
  <si>
    <t>Output 0-200 with spacing 2, 50 and divide by 100</t>
  </si>
  <si>
    <t xml:space="preserve">Corresponding values to selected </t>
  </si>
  <si>
    <t>Q/Q_bf</t>
  </si>
  <si>
    <t>V_bw</t>
  </si>
  <si>
    <t>V_0</t>
  </si>
  <si>
    <t>Discharge relative to bankfull discharge</t>
  </si>
  <si>
    <t>Backwater length</t>
  </si>
  <si>
    <t>Backwater volume (above uniform flow volume)</t>
  </si>
  <si>
    <t>Uniform flow volume</t>
  </si>
  <si>
    <t>V_s</t>
  </si>
  <si>
    <t>Total volume of water over L_bw</t>
  </si>
  <si>
    <t>Slide for numerical values in output figures</t>
  </si>
  <si>
    <t>Locations of min, max for slider xline values in plots</t>
  </si>
  <si>
    <t>fig. 2 h/H_bw</t>
  </si>
  <si>
    <t>fig. 3 segment volume</t>
  </si>
  <si>
    <t>1. Inputs: Channel Parameters</t>
  </si>
  <si>
    <t>2. Inputs: Jam Parameters</t>
  </si>
  <si>
    <t>TR=Vbw/Q</t>
  </si>
  <si>
    <t>Slide to obtain numerical result for given Q/Q_bf</t>
  </si>
  <si>
    <t>Convert input bed resistance to Cz</t>
  </si>
  <si>
    <t>1=Cf ticked; 2=Cz ticked, 3=n ticked, 4=est. from Ds50, Hbf ticked on Input tab</t>
  </si>
  <si>
    <t>Cf=Cf</t>
  </si>
  <si>
    <t>Cf=1/Cz^2</t>
  </si>
  <si>
    <t>Cf=n^2g/h^(1/3)</t>
  </si>
  <si>
    <t>Cf=(5.75log10(2*Hbf/Ds50))^(-2)</t>
  </si>
  <si>
    <t>Cf used in subsequent calculations</t>
  </si>
  <si>
    <t>Cf=(5.75log10(0.0535/S^1.16))^(-2)</t>
  </si>
  <si>
    <t>Lookup table for Q,H,B with z</t>
  </si>
  <si>
    <t>TR=V0/Q</t>
  </si>
  <si>
    <t>Estimated residence time T_R=V/Q</t>
  </si>
  <si>
    <t>H m</t>
  </si>
  <si>
    <t>Q_0 m3/s</t>
  </si>
  <si>
    <t>Q(H&lt;a) m3/s</t>
  </si>
  <si>
    <t>Q(H&gt;a) m3/s</t>
  </si>
  <si>
    <t>Q(H&gt;H_J) m3/s</t>
  </si>
  <si>
    <t>Q_J m3/s</t>
  </si>
  <si>
    <t>avg. B (m)</t>
  </si>
  <si>
    <t>avg. B(H_J)</t>
  </si>
  <si>
    <t>Q(H_J)</t>
  </si>
  <si>
    <t>sum Q m3/s</t>
  </si>
  <si>
    <t>H0(Q_J)</t>
  </si>
  <si>
    <t>L_bw m</t>
  </si>
  <si>
    <t>V0 m3</t>
  </si>
  <si>
    <t>Vs m3</t>
  </si>
  <si>
    <t>TR=(Vs)/Q</t>
  </si>
  <si>
    <t>OUTPUTS</t>
  </si>
  <si>
    <t>Q/QBF</t>
  </si>
  <si>
    <t>fig. 1 T_r (s)</t>
  </si>
  <si>
    <t>T_R (s) =V_0/Q</t>
  </si>
  <si>
    <t>T_R (s) =V_BW/Q</t>
  </si>
  <si>
    <t>T_R (s)=V_s/Q</t>
  </si>
  <si>
    <t>Residence time based on backwater volume only</t>
  </si>
  <si>
    <t>Residence time based on uniform flow volume over backwater length</t>
  </si>
  <si>
    <t>Residence time over full channel section</t>
  </si>
  <si>
    <t>m3/s col. J</t>
  </si>
  <si>
    <t>Worked Example of interpolation (find value in cell K50)</t>
  </si>
  <si>
    <t>value in cell K50</t>
  </si>
  <si>
    <t>Linear Interpolation (col. K)</t>
  </si>
  <si>
    <t xml:space="preserve">Slider Output </t>
  </si>
  <si>
    <t xml:space="preserve">Calculated Paramters Cont. </t>
  </si>
  <si>
    <t>Site name</t>
  </si>
  <si>
    <t>B</t>
  </si>
  <si>
    <t>Hbf</t>
  </si>
  <si>
    <t>Ds50</t>
  </si>
  <si>
    <t>Chittern at Codford</t>
  </si>
  <si>
    <t xml:space="preserve">Usway Burn at Shillmoor </t>
  </si>
  <si>
    <t>Burbage Brook at Burbage</t>
  </si>
  <si>
    <t>--</t>
  </si>
  <si>
    <t>C_f</t>
  </si>
  <si>
    <t>C_z</t>
  </si>
  <si>
    <t>n</t>
  </si>
  <si>
    <t>Penny Gill, West Cumbria*</t>
  </si>
  <si>
    <t>*n increased from typical vaue for rough channel (n=0.03) due to presence of scattered wood pieces in channel</t>
  </si>
  <si>
    <t>HJ/HBf</t>
  </si>
  <si>
    <t>Uniform flow depth relative to bankfull depth</t>
  </si>
  <si>
    <t>Uniform bankfull discharge</t>
  </si>
  <si>
    <t>Relative water depth vs. relative discharge</t>
  </si>
  <si>
    <t>3. Example Site Characteristics [for input in Cell D17]</t>
  </si>
  <si>
    <t>Suggested inputs from Usway Burn (see Section 3 for example site characteristics)</t>
  </si>
  <si>
    <t xml:space="preserve">Specify choice of relationship between bed resistance and discharge. Enter additional input in respective box to left.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</si>
</sst>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0"/>
    <numFmt numFmtId="165" formatCode="0.0"/>
  </numFmts>
  <fonts count="10" x14ac:knownFonts="1"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color rgb="FF0070C0"/>
      <name val="Calibri"/>
      <family val="2"/>
      <scheme val="minor"/>
    </font>
    <font>
      <sz val="12"/>
      <color rgb="FF0070C0"/>
      <name val="Calibri"/>
      <family val="2"/>
      <scheme val="minor"/>
    </font>
    <font>
      <sz val="12"/>
      <color rgb="FFDDECF8"/>
      <name val="Calibri"/>
      <family val="2"/>
      <scheme val="minor"/>
    </font>
    <font>
      <sz val="12"/>
      <color rgb="FF000000"/>
      <name val="Calibri"/>
      <family val="2"/>
      <scheme val="minor"/>
    </font>
    <font>
      <sz val="12"/>
      <name val="Calibri"/>
      <family val="2"/>
      <scheme val="minor"/>
    </font>
    <font>
      <sz val="12"/>
      <color rgb="FF000000"/>
      <name val="Calibri"/>
      <family val="2"/>
    </font>
    <font>
      <sz val="12"/>
      <color rgb="FFFF0000"/>
      <name val="Calibri"/>
      <family val="2"/>
      <scheme val="minor"/>
    </font>
    <font>
      <i/>
      <sz val="12"/>
      <color theme="1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DDECF8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B4C6E7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theme="0" tint="-0.34998626667073579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53">
    <xf numFmtId="0" fontId="0" fillId="0" borderId="0" xfId="0"/>
    <xf numFmtId="0" fontId="1" fillId="0" borderId="0" xfId="0" applyFont="1"/>
    <xf numFmtId="0" fontId="2" fillId="0" borderId="0" xfId="0" applyFont="1"/>
    <xf numFmtId="0" fontId="3" fillId="0" borderId="0" xfId="0" applyFont="1"/>
    <xf numFmtId="0" fontId="0" fillId="3" borderId="0" xfId="0" applyFill="1"/>
    <xf numFmtId="0" fontId="1" fillId="2" borderId="4" xfId="0" applyFont="1" applyFill="1" applyBorder="1"/>
    <xf numFmtId="0" fontId="0" fillId="2" borderId="4" xfId="0" applyFill="1" applyBorder="1"/>
    <xf numFmtId="0" fontId="1" fillId="4" borderId="1" xfId="0" applyFont="1" applyFill="1" applyBorder="1"/>
    <xf numFmtId="0" fontId="0" fillId="4" borderId="2" xfId="0" applyFill="1" applyBorder="1"/>
    <xf numFmtId="0" fontId="0" fillId="4" borderId="4" xfId="0" applyFill="1" applyBorder="1"/>
    <xf numFmtId="0" fontId="1" fillId="4" borderId="4" xfId="0" applyFont="1" applyFill="1" applyBorder="1"/>
    <xf numFmtId="0" fontId="0" fillId="5" borderId="2" xfId="0" applyFill="1" applyBorder="1"/>
    <xf numFmtId="0" fontId="0" fillId="5" borderId="3" xfId="0" applyFill="1" applyBorder="1"/>
    <xf numFmtId="0" fontId="0" fillId="5" borderId="4" xfId="0" applyFill="1" applyBorder="1"/>
    <xf numFmtId="0" fontId="0" fillId="5" borderId="5" xfId="0" applyFill="1" applyBorder="1"/>
    <xf numFmtId="0" fontId="4" fillId="4" borderId="2" xfId="0" applyFont="1" applyFill="1" applyBorder="1"/>
    <xf numFmtId="0" fontId="4" fillId="4" borderId="7" xfId="0" applyFont="1" applyFill="1" applyBorder="1"/>
    <xf numFmtId="11" fontId="0" fillId="3" borderId="0" xfId="0" applyNumberFormat="1" applyFill="1"/>
    <xf numFmtId="0" fontId="5" fillId="0" borderId="0" xfId="0" applyFont="1"/>
    <xf numFmtId="0" fontId="1" fillId="3" borderId="0" xfId="0" applyFont="1" applyFill="1"/>
    <xf numFmtId="0" fontId="6" fillId="0" borderId="0" xfId="0" applyFont="1"/>
    <xf numFmtId="0" fontId="1" fillId="5" borderId="1" xfId="0" applyFont="1" applyFill="1" applyBorder="1"/>
    <xf numFmtId="0" fontId="0" fillId="5" borderId="0" xfId="0" applyFill="1"/>
    <xf numFmtId="0" fontId="4" fillId="4" borderId="3" xfId="0" applyFont="1" applyFill="1" applyBorder="1"/>
    <xf numFmtId="0" fontId="0" fillId="4" borderId="0" xfId="0" applyFill="1"/>
    <xf numFmtId="0" fontId="4" fillId="4" borderId="0" xfId="0" applyFont="1" applyFill="1"/>
    <xf numFmtId="0" fontId="4" fillId="4" borderId="5" xfId="0" applyFont="1" applyFill="1" applyBorder="1"/>
    <xf numFmtId="0" fontId="0" fillId="2" borderId="0" xfId="0" applyFill="1"/>
    <xf numFmtId="0" fontId="0" fillId="2" borderId="0" xfId="0" applyFill="1" applyAlignment="1">
      <alignment horizontal="left"/>
    </xf>
    <xf numFmtId="0" fontId="4" fillId="4" borderId="8" xfId="0" applyFont="1" applyFill="1" applyBorder="1"/>
    <xf numFmtId="0" fontId="0" fillId="6" borderId="6" xfId="0" applyFill="1" applyBorder="1"/>
    <xf numFmtId="0" fontId="0" fillId="6" borderId="7" xfId="0" applyFill="1" applyBorder="1"/>
    <xf numFmtId="0" fontId="0" fillId="6" borderId="8" xfId="0" applyFill="1" applyBorder="1"/>
    <xf numFmtId="0" fontId="0" fillId="6" borderId="0" xfId="0" applyFill="1"/>
    <xf numFmtId="0" fontId="0" fillId="6" borderId="4" xfId="0" applyFill="1" applyBorder="1"/>
    <xf numFmtId="0" fontId="0" fillId="6" borderId="5" xfId="0" applyFill="1" applyBorder="1"/>
    <xf numFmtId="0" fontId="0" fillId="4" borderId="6" xfId="0" applyFill="1" applyBorder="1"/>
    <xf numFmtId="0" fontId="0" fillId="4" borderId="7" xfId="0" applyFill="1" applyBorder="1"/>
    <xf numFmtId="0" fontId="8" fillId="0" borderId="0" xfId="0" applyFont="1"/>
    <xf numFmtId="0" fontId="1" fillId="7" borderId="0" xfId="0" applyFont="1" applyFill="1"/>
    <xf numFmtId="0" fontId="0" fillId="7" borderId="0" xfId="0" applyFill="1"/>
    <xf numFmtId="0" fontId="0" fillId="7" borderId="0" xfId="0" quotePrefix="1" applyFill="1"/>
    <xf numFmtId="11" fontId="0" fillId="0" borderId="0" xfId="0" applyNumberFormat="1"/>
    <xf numFmtId="0" fontId="9" fillId="3" borderId="0" xfId="0" applyFont="1" applyFill="1"/>
    <xf numFmtId="0" fontId="0" fillId="8" borderId="0" xfId="0" applyFill="1"/>
    <xf numFmtId="0" fontId="6" fillId="7" borderId="0" xfId="0" applyFont="1" applyFill="1"/>
    <xf numFmtId="0" fontId="0" fillId="7" borderId="7" xfId="0" applyFill="1" applyBorder="1"/>
    <xf numFmtId="0" fontId="0" fillId="7" borderId="7" xfId="0" applyFill="1" applyBorder="1" applyAlignment="1">
      <alignment horizontal="center"/>
    </xf>
    <xf numFmtId="0" fontId="0" fillId="7" borderId="7" xfId="0" applyFill="1" applyBorder="1" applyAlignment="1">
      <alignment horizontal="right"/>
    </xf>
    <xf numFmtId="164" fontId="0" fillId="7" borderId="0" xfId="0" applyNumberFormat="1" applyFill="1"/>
    <xf numFmtId="2" fontId="0" fillId="7" borderId="0" xfId="0" applyNumberFormat="1" applyFill="1"/>
    <xf numFmtId="165" fontId="0" fillId="7" borderId="0" xfId="0" applyNumberFormat="1" applyFill="1"/>
    <xf numFmtId="164" fontId="0" fillId="8" borderId="0" xfId="0" applyNumberFormat="1" applyFill="1"/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0432FF"/>
      <color rgb="FF0096FF"/>
      <color rgb="FFD9D9D9"/>
      <color rgb="FFDDECF8"/>
      <color rgb="FFB4C6E7"/>
      <color rgb="FFFF9300"/>
      <color rgb="FF9452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eetMetadata" Target="metadata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2"/>
          <c:order val="0"/>
          <c:tx>
            <c:v>slider location</c:v>
          </c:tx>
          <c:spPr>
            <a:ln w="3175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Calculations!$AC$11:$AC$12</c:f>
              <c:numCache>
                <c:formatCode>General</c:formatCode>
                <c:ptCount val="2"/>
                <c:pt idx="0">
                  <c:v>1.33</c:v>
                </c:pt>
                <c:pt idx="1">
                  <c:v>1.33</c:v>
                </c:pt>
              </c:numCache>
            </c:numRef>
          </c:xVal>
          <c:yVal>
            <c:numRef>
              <c:f>Calculations!$AD$11:$AD$12</c:f>
              <c:numCache>
                <c:formatCode>General</c:formatCode>
                <c:ptCount val="2"/>
                <c:pt idx="0">
                  <c:v>0</c:v>
                </c:pt>
                <c:pt idx="1">
                  <c:v>1.999999999999998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6BD-EF42-BA75-6F84345E53D7}"/>
            </c:ext>
          </c:extLst>
        </c:ser>
        <c:ser>
          <c:idx val="0"/>
          <c:order val="1"/>
          <c:tx>
            <c:v>Relative jam-generated upstream depth</c:v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00B050"/>
              </a:solidFill>
              <a:ln w="9525">
                <a:solidFill>
                  <a:srgbClr val="00B050"/>
                </a:solidFill>
              </a:ln>
              <a:effectLst/>
            </c:spPr>
          </c:marker>
          <c:xVal>
            <c:numRef>
              <c:f>Calculations!$W$18:$W$137</c:f>
              <c:numCache>
                <c:formatCode>General</c:formatCode>
                <c:ptCount val="120"/>
                <c:pt idx="0">
                  <c:v>0</c:v>
                </c:pt>
                <c:pt idx="1">
                  <c:v>6.6213657618227064E-4</c:v>
                </c:pt>
                <c:pt idx="2">
                  <c:v>1.8780363513894462E-3</c:v>
                </c:pt>
                <c:pt idx="3">
                  <c:v>3.4597835944614095E-3</c:v>
                </c:pt>
                <c:pt idx="4">
                  <c:v>5.3414816536715018E-3</c:v>
                </c:pt>
                <c:pt idx="5">
                  <c:v>7.4856260739270125E-3</c:v>
                </c:pt>
                <c:pt idx="6">
                  <c:v>9.8672936456959091E-3</c:v>
                </c:pt>
                <c:pt idx="7">
                  <c:v>1.2468465152634023E-2</c:v>
                </c:pt>
                <c:pt idx="8">
                  <c:v>1.5275393164504686E-2</c:v>
                </c:pt>
                <c:pt idx="9">
                  <c:v>1.8277188954841331E-2</c:v>
                </c:pt>
                <c:pt idx="10">
                  <c:v>2.1464986339185952E-2</c:v>
                </c:pt>
                <c:pt idx="11">
                  <c:v>2.4831411018605254E-2</c:v>
                </c:pt>
                <c:pt idx="12">
                  <c:v>2.8370225474583552E-2</c:v>
                </c:pt>
                <c:pt idx="13">
                  <c:v>3.2076081235579618E-2</c:v>
                </c:pt>
                <c:pt idx="14">
                  <c:v>3.5944340138617761E-2</c:v>
                </c:pt>
                <c:pt idx="15">
                  <c:v>3.997094174071375E-2</c:v>
                </c:pt>
                <c:pt idx="16">
                  <c:v>4.4152302644198775E-2</c:v>
                </c:pt>
                <c:pt idx="17">
                  <c:v>4.8485238520134102E-2</c:v>
                </c:pt>
                <c:pt idx="18">
                  <c:v>5.2966902668017103E-2</c:v>
                </c:pt>
                <c:pt idx="19">
                  <c:v>5.7594736876059885E-2</c:v>
                </c:pt>
                <c:pt idx="20">
                  <c:v>6.2366431599347703E-2</c:v>
                </c:pt>
                <c:pt idx="21">
                  <c:v>6.7279893310688357E-2</c:v>
                </c:pt>
                <c:pt idx="22">
                  <c:v>7.2333217452206999E-2</c:v>
                </c:pt>
                <c:pt idx="23">
                  <c:v>7.7524665816461807E-2</c:v>
                </c:pt>
                <c:pt idx="24">
                  <c:v>8.2852647471297877E-2</c:v>
                </c:pt>
                <c:pt idx="25">
                  <c:v>8.8315702549450883E-2</c:v>
                </c:pt>
                <c:pt idx="26">
                  <c:v>9.3912488376031306E-2</c:v>
                </c:pt>
                <c:pt idx="27">
                  <c:v>9.9641767520488561E-2</c:v>
                </c:pt>
                <c:pt idx="28">
                  <c:v>0.10550239744536481</c:v>
                </c:pt>
                <c:pt idx="29">
                  <c:v>0.1114933214896522</c:v>
                </c:pt>
                <c:pt idx="30">
                  <c:v>0.11761356097516047</c:v>
                </c:pt>
                <c:pt idx="31">
                  <c:v>0.12386220826376709</c:v>
                </c:pt>
                <c:pt idx="32">
                  <c:v>0.13023842062448929</c:v>
                </c:pt>
                <c:pt idx="33">
                  <c:v>0.13674141479397958</c:v>
                </c:pt>
                <c:pt idx="34">
                  <c:v>0.14337046213377877</c:v>
                </c:pt>
                <c:pt idx="35">
                  <c:v>0.15012488430356841</c:v>
                </c:pt>
                <c:pt idx="36">
                  <c:v>0.15700404938257156</c:v>
                </c:pt>
                <c:pt idx="37">
                  <c:v>0.16400736838179766</c:v>
                </c:pt>
                <c:pt idx="38">
                  <c:v>0.17113429209849124</c:v>
                </c:pt>
                <c:pt idx="39">
                  <c:v>0.17838430827130819</c:v>
                </c:pt>
                <c:pt idx="40">
                  <c:v>0.18575693900069393</c:v>
                </c:pt>
                <c:pt idx="41">
                  <c:v>0.19325173840390808</c:v>
                </c:pt>
                <c:pt idx="42">
                  <c:v>0.20086829047831323</c:v>
                </c:pt>
                <c:pt idx="43">
                  <c:v>0.20860620715005959</c:v>
                </c:pt>
                <c:pt idx="44">
                  <c:v>0.21646512648827665</c:v>
                </c:pt>
                <c:pt idx="45">
                  <c:v>0.22444471106741415</c:v>
                </c:pt>
                <c:pt idx="46">
                  <c:v>0.23254464646253259</c:v>
                </c:pt>
                <c:pt idx="47">
                  <c:v>0.24076463986419772</c:v>
                </c:pt>
                <c:pt idx="48">
                  <c:v>0.24910441880122192</c:v>
                </c:pt>
                <c:pt idx="49">
                  <c:v>0.25756372996086813</c:v>
                </c:pt>
                <c:pt idx="50">
                  <c:v>0.26614233809732102</c:v>
                </c:pt>
                <c:pt idx="51">
                  <c:v>0.27484002502025917</c:v>
                </c:pt>
                <c:pt idx="52">
                  <c:v>0.28365658865626153</c:v>
                </c:pt>
                <c:pt idx="53">
                  <c:v>0.29259184217656348</c:v>
                </c:pt>
                <c:pt idx="54">
                  <c:v>0.3016456131853657</c:v>
                </c:pt>
                <c:pt idx="55">
                  <c:v>0.31081774296349984</c:v>
                </c:pt>
                <c:pt idx="56">
                  <c:v>0.32010808576278543</c:v>
                </c:pt>
                <c:pt idx="57">
                  <c:v>0.32951650814688238</c:v>
                </c:pt>
                <c:pt idx="58">
                  <c:v>0.33904288837485203</c:v>
                </c:pt>
                <c:pt idx="59">
                  <c:v>0.34868711582401041</c:v>
                </c:pt>
                <c:pt idx="60">
                  <c:v>0.3584598353257944</c:v>
                </c:pt>
                <c:pt idx="61">
                  <c:v>0.36842622870113934</c:v>
                </c:pt>
                <c:pt idx="62">
                  <c:v>0.3785989931698156</c:v>
                </c:pt>
                <c:pt idx="63">
                  <c:v>0.38898014603578052</c:v>
                </c:pt>
                <c:pt idx="64">
                  <c:v>0.39957168057336778</c:v>
                </c:pt>
                <c:pt idx="65">
                  <c:v>0.41037556689935695</c:v>
                </c:pt>
                <c:pt idx="66">
                  <c:v>0.42139375279502145</c:v>
                </c:pt>
                <c:pt idx="67">
                  <c:v>0.43262816448192087</c:v>
                </c:pt>
                <c:pt idx="68">
                  <c:v>0.44408070735486532</c:v>
                </c:pt>
                <c:pt idx="69">
                  <c:v>0.45575326667516458</c:v>
                </c:pt>
                <c:pt idx="70">
                  <c:v>0.4676477082270058</c:v>
                </c:pt>
                <c:pt idx="71">
                  <c:v>0.47976587893955325</c:v>
                </c:pt>
                <c:pt idx="72">
                  <c:v>0.48811217390320039</c:v>
                </c:pt>
                <c:pt idx="73">
                  <c:v>0.49754584051652551</c:v>
                </c:pt>
                <c:pt idx="74">
                  <c:v>0.50994121114255075</c:v>
                </c:pt>
                <c:pt idx="75">
                  <c:v>0.52468577249397763</c:v>
                </c:pt>
                <c:pt idx="76">
                  <c:v>0.54147266030240049</c:v>
                </c:pt>
                <c:pt idx="77">
                  <c:v>0.56011185394843022</c:v>
                </c:pt>
                <c:pt idx="78">
                  <c:v>0.58047323019368824</c:v>
                </c:pt>
                <c:pt idx="79">
                  <c:v>0.60246225539905685</c:v>
                </c:pt>
                <c:pt idx="80">
                  <c:v>0.62600757313935573</c:v>
                </c:pt>
                <c:pt idx="81">
                  <c:v>0.65105390274341113</c:v>
                </c:pt>
                <c:pt idx="82">
                  <c:v>0.67755763967903682</c:v>
                </c:pt>
                <c:pt idx="83">
                  <c:v>0.70548396360447618</c:v>
                </c:pt>
                <c:pt idx="84">
                  <c:v>0.73480484820894898</c:v>
                </c:pt>
                <c:pt idx="85">
                  <c:v>0.76549764053401836</c:v>
                </c:pt>
                <c:pt idx="86">
                  <c:v>0.79754401599051172</c:v>
                </c:pt>
                <c:pt idx="87">
                  <c:v>0.83092919031456669</c:v>
                </c:pt>
                <c:pt idx="88">
                  <c:v>0.86564131263300426</c:v>
                </c:pt>
                <c:pt idx="89">
                  <c:v>0.9016709895122087</c:v>
                </c:pt>
                <c:pt idx="90">
                  <c:v>0.93901090586014924</c:v>
                </c:pt>
                <c:pt idx="91">
                  <c:v>0.97765551883930268</c:v>
                </c:pt>
                <c:pt idx="92">
                  <c:v>1.0176008077578889</c:v>
                </c:pt>
                <c:pt idx="93">
                  <c:v>1.058844067528758</c:v>
                </c:pt>
                <c:pt idx="94">
                  <c:v>1.1013837364928754</c:v>
                </c:pt>
                <c:pt idx="95">
                  <c:v>1.145219251674862</c:v>
                </c:pt>
                <c:pt idx="96">
                  <c:v>1.1903509261740757</c:v>
                </c:pt>
                <c:pt idx="97">
                  <c:v>1.2367798445925864</c:v>
                </c:pt>
                <c:pt idx="98">
                  <c:v>1.2845077732912835</c:v>
                </c:pt>
                <c:pt idx="99">
                  <c:v>1.3335370829352569</c:v>
                </c:pt>
                <c:pt idx="100">
                  <c:v>1.383870681300025</c:v>
                </c:pt>
                <c:pt idx="101">
                  <c:v>1.435511954703484</c:v>
                </c:pt>
                <c:pt idx="102">
                  <c:v>1.4884647167345668</c:v>
                </c:pt>
                <c:pt idx="103">
                  <c:v>1.5427331631901957</c:v>
                </c:pt>
                <c:pt idx="104">
                  <c:v>1.5983218323228165</c:v>
                </c:pt>
                <c:pt idx="105">
                  <c:v>1.6552355696532264</c:v>
                </c:pt>
                <c:pt idx="106">
                  <c:v>1.7134794967261828</c:v>
                </c:pt>
                <c:pt idx="107">
                  <c:v>1.7730589832858266</c:v>
                </c:pt>
                <c:pt idx="108">
                  <c:v>1.8339796224292833</c:v>
                </c:pt>
                <c:pt idx="109">
                  <c:v>1.8962472083635578</c:v>
                </c:pt>
                <c:pt idx="110">
                  <c:v>1.959867716446086</c:v>
                </c:pt>
                <c:pt idx="111">
                  <c:v>2.0248472852351385</c:v>
                </c:pt>
                <c:pt idx="112">
                  <c:v>2.0911922003146035</c:v>
                </c:pt>
                <c:pt idx="113">
                  <c:v>2.1589088796898452</c:v>
                </c:pt>
                <c:pt idx="114">
                  <c:v>2.2280038605784376</c:v>
                </c:pt>
                <c:pt idx="115">
                  <c:v>2.2984837874425614</c:v>
                </c:pt>
                <c:pt idx="116">
                  <c:v>2.3703554011293848</c:v>
                </c:pt>
                <c:pt idx="117">
                  <c:v>2.4436255290024196</c:v>
                </c:pt>
                <c:pt idx="118">
                  <c:v>2.5183010759611619</c:v>
                </c:pt>
                <c:pt idx="119">
                  <c:v>2.5943890162586092</c:v>
                </c:pt>
              </c:numCache>
            </c:numRef>
          </c:xVal>
          <c:yVal>
            <c:numRef>
              <c:f>Calculations!$Y$18:$Y$137</c:f>
              <c:numCache>
                <c:formatCode>General</c:formatCode>
                <c:ptCount val="120"/>
                <c:pt idx="0">
                  <c:v>0</c:v>
                </c:pt>
                <c:pt idx="1">
                  <c:v>1.680672268907563E-2</c:v>
                </c:pt>
                <c:pt idx="2">
                  <c:v>3.3613445378151259E-2</c:v>
                </c:pt>
                <c:pt idx="3">
                  <c:v>5.0420168067226892E-2</c:v>
                </c:pt>
                <c:pt idx="4">
                  <c:v>6.7226890756302518E-2</c:v>
                </c:pt>
                <c:pt idx="5">
                  <c:v>8.4033613445378144E-2</c:v>
                </c:pt>
                <c:pt idx="6">
                  <c:v>0.10084033613445377</c:v>
                </c:pt>
                <c:pt idx="7">
                  <c:v>0.1176470588235294</c:v>
                </c:pt>
                <c:pt idx="8">
                  <c:v>0.13445378151260504</c:v>
                </c:pt>
                <c:pt idx="9">
                  <c:v>0.15126050420168066</c:v>
                </c:pt>
                <c:pt idx="10">
                  <c:v>0.16806722689075629</c:v>
                </c:pt>
                <c:pt idx="11">
                  <c:v>0.18487394957983191</c:v>
                </c:pt>
                <c:pt idx="12">
                  <c:v>0.20168067226890754</c:v>
                </c:pt>
                <c:pt idx="13">
                  <c:v>0.21848739495798317</c:v>
                </c:pt>
                <c:pt idx="14">
                  <c:v>0.23529411764705879</c:v>
                </c:pt>
                <c:pt idx="15">
                  <c:v>0.25210084033613445</c:v>
                </c:pt>
                <c:pt idx="16">
                  <c:v>0.26890756302521007</c:v>
                </c:pt>
                <c:pt idx="17">
                  <c:v>0.2857142857142857</c:v>
                </c:pt>
                <c:pt idx="18">
                  <c:v>0.30252100840336132</c:v>
                </c:pt>
                <c:pt idx="19">
                  <c:v>0.31932773109243695</c:v>
                </c:pt>
                <c:pt idx="20">
                  <c:v>0.33613445378151258</c:v>
                </c:pt>
                <c:pt idx="21">
                  <c:v>0.3529411764705882</c:v>
                </c:pt>
                <c:pt idx="22">
                  <c:v>0.36974789915966383</c:v>
                </c:pt>
                <c:pt idx="23">
                  <c:v>0.38655462184873945</c:v>
                </c:pt>
                <c:pt idx="24">
                  <c:v>0.40336134453781508</c:v>
                </c:pt>
                <c:pt idx="25">
                  <c:v>0.42016806722689071</c:v>
                </c:pt>
                <c:pt idx="26">
                  <c:v>0.43697478991596633</c:v>
                </c:pt>
                <c:pt idx="27">
                  <c:v>0.45378151260504196</c:v>
                </c:pt>
                <c:pt idx="28">
                  <c:v>0.47058823529411759</c:v>
                </c:pt>
                <c:pt idx="29">
                  <c:v>0.48739495798319321</c:v>
                </c:pt>
                <c:pt idx="30">
                  <c:v>0.50420168067226889</c:v>
                </c:pt>
                <c:pt idx="31">
                  <c:v>0.52100840336134457</c:v>
                </c:pt>
                <c:pt idx="32">
                  <c:v>0.53781512605042026</c:v>
                </c:pt>
                <c:pt idx="33">
                  <c:v>0.55462184873949594</c:v>
                </c:pt>
                <c:pt idx="34">
                  <c:v>0.57142857142857162</c:v>
                </c:pt>
                <c:pt idx="35">
                  <c:v>0.5882352941176473</c:v>
                </c:pt>
                <c:pt idx="36">
                  <c:v>0.60504201680672298</c:v>
                </c:pt>
                <c:pt idx="37">
                  <c:v>0.62184873949579866</c:v>
                </c:pt>
                <c:pt idx="38">
                  <c:v>0.63865546218487435</c:v>
                </c:pt>
                <c:pt idx="39">
                  <c:v>0.65546218487395003</c:v>
                </c:pt>
                <c:pt idx="40">
                  <c:v>0.67226890756302571</c:v>
                </c:pt>
                <c:pt idx="41">
                  <c:v>0.68907563025210139</c:v>
                </c:pt>
                <c:pt idx="42">
                  <c:v>0.70588235294117707</c:v>
                </c:pt>
                <c:pt idx="43">
                  <c:v>0.72268907563025275</c:v>
                </c:pt>
                <c:pt idx="44">
                  <c:v>0.73949579831932843</c:v>
                </c:pt>
                <c:pt idx="45">
                  <c:v>0.75630252100840412</c:v>
                </c:pt>
                <c:pt idx="46">
                  <c:v>0.7731092436974798</c:v>
                </c:pt>
                <c:pt idx="47">
                  <c:v>0.78991596638655548</c:v>
                </c:pt>
                <c:pt idx="48">
                  <c:v>0.80672268907563116</c:v>
                </c:pt>
                <c:pt idx="49">
                  <c:v>0.82352941176470684</c:v>
                </c:pt>
                <c:pt idx="50">
                  <c:v>0.84033613445378252</c:v>
                </c:pt>
                <c:pt idx="51">
                  <c:v>0.85714285714285821</c:v>
                </c:pt>
                <c:pt idx="52">
                  <c:v>0.87394957983193389</c:v>
                </c:pt>
                <c:pt idx="53">
                  <c:v>0.89075630252100957</c:v>
                </c:pt>
                <c:pt idx="54">
                  <c:v>0.90756302521008525</c:v>
                </c:pt>
                <c:pt idx="55">
                  <c:v>0.92436974789916093</c:v>
                </c:pt>
                <c:pt idx="56">
                  <c:v>0.94117647058823661</c:v>
                </c:pt>
                <c:pt idx="57">
                  <c:v>0.95798319327731229</c:v>
                </c:pt>
                <c:pt idx="58">
                  <c:v>0.97478991596638798</c:v>
                </c:pt>
                <c:pt idx="59">
                  <c:v>0.99159663865546366</c:v>
                </c:pt>
                <c:pt idx="60">
                  <c:v>1.0084033613445393</c:v>
                </c:pt>
                <c:pt idx="61">
                  <c:v>1.0252100840336149</c:v>
                </c:pt>
                <c:pt idx="62">
                  <c:v>1.0420168067226905</c:v>
                </c:pt>
                <c:pt idx="63">
                  <c:v>1.0588235294117661</c:v>
                </c:pt>
                <c:pt idx="64">
                  <c:v>1.0756302521008416</c:v>
                </c:pt>
                <c:pt idx="65">
                  <c:v>1.0924369747899172</c:v>
                </c:pt>
                <c:pt idx="66">
                  <c:v>1.1092436974789928</c:v>
                </c:pt>
                <c:pt idx="67">
                  <c:v>1.1260504201680683</c:v>
                </c:pt>
                <c:pt idx="68">
                  <c:v>1.1428571428571439</c:v>
                </c:pt>
                <c:pt idx="69">
                  <c:v>1.1596638655462195</c:v>
                </c:pt>
                <c:pt idx="70">
                  <c:v>1.176470588235295</c:v>
                </c:pt>
                <c:pt idx="71">
                  <c:v>1.1932773109243706</c:v>
                </c:pt>
                <c:pt idx="72">
                  <c:v>1.2100840336134462</c:v>
                </c:pt>
                <c:pt idx="73">
                  <c:v>1.2268907563025218</c:v>
                </c:pt>
                <c:pt idx="74">
                  <c:v>1.2436974789915973</c:v>
                </c:pt>
                <c:pt idx="75">
                  <c:v>1.2605042016806729</c:v>
                </c:pt>
                <c:pt idx="76">
                  <c:v>1.2773109243697485</c:v>
                </c:pt>
                <c:pt idx="77">
                  <c:v>1.294117647058824</c:v>
                </c:pt>
                <c:pt idx="78">
                  <c:v>1.3109243697478996</c:v>
                </c:pt>
                <c:pt idx="79">
                  <c:v>1.3277310924369752</c:v>
                </c:pt>
                <c:pt idx="80">
                  <c:v>1.3445378151260508</c:v>
                </c:pt>
                <c:pt idx="81">
                  <c:v>1.3613445378151263</c:v>
                </c:pt>
                <c:pt idx="82">
                  <c:v>1.3781512605042019</c:v>
                </c:pt>
                <c:pt idx="83">
                  <c:v>1.3949579831932775</c:v>
                </c:pt>
                <c:pt idx="84">
                  <c:v>1.411764705882353</c:v>
                </c:pt>
                <c:pt idx="85">
                  <c:v>1.4285714285714286</c:v>
                </c:pt>
                <c:pt idx="86">
                  <c:v>1.4453781512605042</c:v>
                </c:pt>
                <c:pt idx="87">
                  <c:v>1.4621848739495797</c:v>
                </c:pt>
                <c:pt idx="88">
                  <c:v>1.4789915966386553</c:v>
                </c:pt>
                <c:pt idx="89">
                  <c:v>1.4957983193277309</c:v>
                </c:pt>
                <c:pt idx="90">
                  <c:v>1.5126050420168065</c:v>
                </c:pt>
                <c:pt idx="91">
                  <c:v>1.529411764705882</c:v>
                </c:pt>
                <c:pt idx="92">
                  <c:v>1.5462184873949576</c:v>
                </c:pt>
                <c:pt idx="93">
                  <c:v>1.5630252100840332</c:v>
                </c:pt>
                <c:pt idx="94">
                  <c:v>1.5798319327731087</c:v>
                </c:pt>
                <c:pt idx="95">
                  <c:v>1.5966386554621843</c:v>
                </c:pt>
                <c:pt idx="96">
                  <c:v>1.6134453781512599</c:v>
                </c:pt>
                <c:pt idx="97">
                  <c:v>1.6302521008403354</c:v>
                </c:pt>
                <c:pt idx="98">
                  <c:v>1.647058823529411</c:v>
                </c:pt>
                <c:pt idx="99">
                  <c:v>1.6638655462184866</c:v>
                </c:pt>
                <c:pt idx="100">
                  <c:v>1.6806722689075622</c:v>
                </c:pt>
                <c:pt idx="101">
                  <c:v>1.6974789915966377</c:v>
                </c:pt>
                <c:pt idx="102">
                  <c:v>1.7142857142857133</c:v>
                </c:pt>
                <c:pt idx="103">
                  <c:v>1.7310924369747889</c:v>
                </c:pt>
                <c:pt idx="104">
                  <c:v>1.7478991596638644</c:v>
                </c:pt>
                <c:pt idx="105">
                  <c:v>1.76470588235294</c:v>
                </c:pt>
                <c:pt idx="106">
                  <c:v>1.7815126050420156</c:v>
                </c:pt>
                <c:pt idx="107">
                  <c:v>1.7983193277310912</c:v>
                </c:pt>
                <c:pt idx="108">
                  <c:v>1.8151260504201667</c:v>
                </c:pt>
                <c:pt idx="109">
                  <c:v>1.8319327731092423</c:v>
                </c:pt>
                <c:pt idx="110">
                  <c:v>1.8487394957983179</c:v>
                </c:pt>
                <c:pt idx="111">
                  <c:v>1.8655462184873934</c:v>
                </c:pt>
                <c:pt idx="112">
                  <c:v>1.882352941176469</c:v>
                </c:pt>
                <c:pt idx="113">
                  <c:v>1.8991596638655446</c:v>
                </c:pt>
                <c:pt idx="114">
                  <c:v>1.9159663865546201</c:v>
                </c:pt>
                <c:pt idx="115">
                  <c:v>1.9327731092436957</c:v>
                </c:pt>
                <c:pt idx="116">
                  <c:v>1.9495798319327713</c:v>
                </c:pt>
                <c:pt idx="117">
                  <c:v>1.9663865546218469</c:v>
                </c:pt>
                <c:pt idx="118">
                  <c:v>1.9831932773109224</c:v>
                </c:pt>
                <c:pt idx="119">
                  <c:v>1.999999999999998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6BD-EF42-BA75-6F84345E53D7}"/>
            </c:ext>
          </c:extLst>
        </c:ser>
        <c:ser>
          <c:idx val="1"/>
          <c:order val="2"/>
          <c:tx>
            <c:v>Relative uniform flow depth</c:v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0070C0"/>
              </a:solidFill>
              <a:ln w="9525">
                <a:solidFill>
                  <a:srgbClr val="0070C0"/>
                </a:solidFill>
              </a:ln>
              <a:effectLst/>
            </c:spPr>
          </c:marker>
          <c:xVal>
            <c:numRef>
              <c:f>Calculations!$W$18:$W$137</c:f>
              <c:numCache>
                <c:formatCode>General</c:formatCode>
                <c:ptCount val="120"/>
                <c:pt idx="0">
                  <c:v>0</c:v>
                </c:pt>
                <c:pt idx="1">
                  <c:v>6.6213657618227064E-4</c:v>
                </c:pt>
                <c:pt idx="2">
                  <c:v>1.8780363513894462E-3</c:v>
                </c:pt>
                <c:pt idx="3">
                  <c:v>3.4597835944614095E-3</c:v>
                </c:pt>
                <c:pt idx="4">
                  <c:v>5.3414816536715018E-3</c:v>
                </c:pt>
                <c:pt idx="5">
                  <c:v>7.4856260739270125E-3</c:v>
                </c:pt>
                <c:pt idx="6">
                  <c:v>9.8672936456959091E-3</c:v>
                </c:pt>
                <c:pt idx="7">
                  <c:v>1.2468465152634023E-2</c:v>
                </c:pt>
                <c:pt idx="8">
                  <c:v>1.5275393164504686E-2</c:v>
                </c:pt>
                <c:pt idx="9">
                  <c:v>1.8277188954841331E-2</c:v>
                </c:pt>
                <c:pt idx="10">
                  <c:v>2.1464986339185952E-2</c:v>
                </c:pt>
                <c:pt idx="11">
                  <c:v>2.4831411018605254E-2</c:v>
                </c:pt>
                <c:pt idx="12">
                  <c:v>2.8370225474583552E-2</c:v>
                </c:pt>
                <c:pt idx="13">
                  <c:v>3.2076081235579618E-2</c:v>
                </c:pt>
                <c:pt idx="14">
                  <c:v>3.5944340138617761E-2</c:v>
                </c:pt>
                <c:pt idx="15">
                  <c:v>3.997094174071375E-2</c:v>
                </c:pt>
                <c:pt idx="16">
                  <c:v>4.4152302644198775E-2</c:v>
                </c:pt>
                <c:pt idx="17">
                  <c:v>4.8485238520134102E-2</c:v>
                </c:pt>
                <c:pt idx="18">
                  <c:v>5.2966902668017103E-2</c:v>
                </c:pt>
                <c:pt idx="19">
                  <c:v>5.7594736876059885E-2</c:v>
                </c:pt>
                <c:pt idx="20">
                  <c:v>6.2366431599347703E-2</c:v>
                </c:pt>
                <c:pt idx="21">
                  <c:v>6.7279893310688357E-2</c:v>
                </c:pt>
                <c:pt idx="22">
                  <c:v>7.2333217452206999E-2</c:v>
                </c:pt>
                <c:pt idx="23">
                  <c:v>7.7524665816461807E-2</c:v>
                </c:pt>
                <c:pt idx="24">
                  <c:v>8.2852647471297877E-2</c:v>
                </c:pt>
                <c:pt idx="25">
                  <c:v>8.8315702549450883E-2</c:v>
                </c:pt>
                <c:pt idx="26">
                  <c:v>9.3912488376031306E-2</c:v>
                </c:pt>
                <c:pt idx="27">
                  <c:v>9.9641767520488561E-2</c:v>
                </c:pt>
                <c:pt idx="28">
                  <c:v>0.10550239744536481</c:v>
                </c:pt>
                <c:pt idx="29">
                  <c:v>0.1114933214896522</c:v>
                </c:pt>
                <c:pt idx="30">
                  <c:v>0.11761356097516047</c:v>
                </c:pt>
                <c:pt idx="31">
                  <c:v>0.12386220826376709</c:v>
                </c:pt>
                <c:pt idx="32">
                  <c:v>0.13023842062448929</c:v>
                </c:pt>
                <c:pt idx="33">
                  <c:v>0.13674141479397958</c:v>
                </c:pt>
                <c:pt idx="34">
                  <c:v>0.14337046213377877</c:v>
                </c:pt>
                <c:pt idx="35">
                  <c:v>0.15012488430356841</c:v>
                </c:pt>
                <c:pt idx="36">
                  <c:v>0.15700404938257156</c:v>
                </c:pt>
                <c:pt idx="37">
                  <c:v>0.16400736838179766</c:v>
                </c:pt>
                <c:pt idx="38">
                  <c:v>0.17113429209849124</c:v>
                </c:pt>
                <c:pt idx="39">
                  <c:v>0.17838430827130819</c:v>
                </c:pt>
                <c:pt idx="40">
                  <c:v>0.18575693900069393</c:v>
                </c:pt>
                <c:pt idx="41">
                  <c:v>0.19325173840390808</c:v>
                </c:pt>
                <c:pt idx="42">
                  <c:v>0.20086829047831323</c:v>
                </c:pt>
                <c:pt idx="43">
                  <c:v>0.20860620715005959</c:v>
                </c:pt>
                <c:pt idx="44">
                  <c:v>0.21646512648827665</c:v>
                </c:pt>
                <c:pt idx="45">
                  <c:v>0.22444471106741415</c:v>
                </c:pt>
                <c:pt idx="46">
                  <c:v>0.23254464646253259</c:v>
                </c:pt>
                <c:pt idx="47">
                  <c:v>0.24076463986419772</c:v>
                </c:pt>
                <c:pt idx="48">
                  <c:v>0.24910441880122192</c:v>
                </c:pt>
                <c:pt idx="49">
                  <c:v>0.25756372996086813</c:v>
                </c:pt>
                <c:pt idx="50">
                  <c:v>0.26614233809732102</c:v>
                </c:pt>
                <c:pt idx="51">
                  <c:v>0.27484002502025917</c:v>
                </c:pt>
                <c:pt idx="52">
                  <c:v>0.28365658865626153</c:v>
                </c:pt>
                <c:pt idx="53">
                  <c:v>0.29259184217656348</c:v>
                </c:pt>
                <c:pt idx="54">
                  <c:v>0.3016456131853657</c:v>
                </c:pt>
                <c:pt idx="55">
                  <c:v>0.31081774296349984</c:v>
                </c:pt>
                <c:pt idx="56">
                  <c:v>0.32010808576278543</c:v>
                </c:pt>
                <c:pt idx="57">
                  <c:v>0.32951650814688238</c:v>
                </c:pt>
                <c:pt idx="58">
                  <c:v>0.33904288837485203</c:v>
                </c:pt>
                <c:pt idx="59">
                  <c:v>0.34868711582401041</c:v>
                </c:pt>
                <c:pt idx="60">
                  <c:v>0.3584598353257944</c:v>
                </c:pt>
                <c:pt idx="61">
                  <c:v>0.36842622870113934</c:v>
                </c:pt>
                <c:pt idx="62">
                  <c:v>0.3785989931698156</c:v>
                </c:pt>
                <c:pt idx="63">
                  <c:v>0.38898014603578052</c:v>
                </c:pt>
                <c:pt idx="64">
                  <c:v>0.39957168057336778</c:v>
                </c:pt>
                <c:pt idx="65">
                  <c:v>0.41037556689935695</c:v>
                </c:pt>
                <c:pt idx="66">
                  <c:v>0.42139375279502145</c:v>
                </c:pt>
                <c:pt idx="67">
                  <c:v>0.43262816448192087</c:v>
                </c:pt>
                <c:pt idx="68">
                  <c:v>0.44408070735486532</c:v>
                </c:pt>
                <c:pt idx="69">
                  <c:v>0.45575326667516458</c:v>
                </c:pt>
                <c:pt idx="70">
                  <c:v>0.4676477082270058</c:v>
                </c:pt>
                <c:pt idx="71">
                  <c:v>0.47976587893955325</c:v>
                </c:pt>
                <c:pt idx="72">
                  <c:v>0.48811217390320039</c:v>
                </c:pt>
                <c:pt idx="73">
                  <c:v>0.49754584051652551</c:v>
                </c:pt>
                <c:pt idx="74">
                  <c:v>0.50994121114255075</c:v>
                </c:pt>
                <c:pt idx="75">
                  <c:v>0.52468577249397763</c:v>
                </c:pt>
                <c:pt idx="76">
                  <c:v>0.54147266030240049</c:v>
                </c:pt>
                <c:pt idx="77">
                  <c:v>0.56011185394843022</c:v>
                </c:pt>
                <c:pt idx="78">
                  <c:v>0.58047323019368824</c:v>
                </c:pt>
                <c:pt idx="79">
                  <c:v>0.60246225539905685</c:v>
                </c:pt>
                <c:pt idx="80">
                  <c:v>0.62600757313935573</c:v>
                </c:pt>
                <c:pt idx="81">
                  <c:v>0.65105390274341113</c:v>
                </c:pt>
                <c:pt idx="82">
                  <c:v>0.67755763967903682</c:v>
                </c:pt>
                <c:pt idx="83">
                  <c:v>0.70548396360447618</c:v>
                </c:pt>
                <c:pt idx="84">
                  <c:v>0.73480484820894898</c:v>
                </c:pt>
                <c:pt idx="85">
                  <c:v>0.76549764053401836</c:v>
                </c:pt>
                <c:pt idx="86">
                  <c:v>0.79754401599051172</c:v>
                </c:pt>
                <c:pt idx="87">
                  <c:v>0.83092919031456669</c:v>
                </c:pt>
                <c:pt idx="88">
                  <c:v>0.86564131263300426</c:v>
                </c:pt>
                <c:pt idx="89">
                  <c:v>0.9016709895122087</c:v>
                </c:pt>
                <c:pt idx="90">
                  <c:v>0.93901090586014924</c:v>
                </c:pt>
                <c:pt idx="91">
                  <c:v>0.97765551883930268</c:v>
                </c:pt>
                <c:pt idx="92">
                  <c:v>1.0176008077578889</c:v>
                </c:pt>
                <c:pt idx="93">
                  <c:v>1.058844067528758</c:v>
                </c:pt>
                <c:pt idx="94">
                  <c:v>1.1013837364928754</c:v>
                </c:pt>
                <c:pt idx="95">
                  <c:v>1.145219251674862</c:v>
                </c:pt>
                <c:pt idx="96">
                  <c:v>1.1903509261740757</c:v>
                </c:pt>
                <c:pt idx="97">
                  <c:v>1.2367798445925864</c:v>
                </c:pt>
                <c:pt idx="98">
                  <c:v>1.2845077732912835</c:v>
                </c:pt>
                <c:pt idx="99">
                  <c:v>1.3335370829352569</c:v>
                </c:pt>
                <c:pt idx="100">
                  <c:v>1.383870681300025</c:v>
                </c:pt>
                <c:pt idx="101">
                  <c:v>1.435511954703484</c:v>
                </c:pt>
                <c:pt idx="102">
                  <c:v>1.4884647167345668</c:v>
                </c:pt>
                <c:pt idx="103">
                  <c:v>1.5427331631901957</c:v>
                </c:pt>
                <c:pt idx="104">
                  <c:v>1.5983218323228165</c:v>
                </c:pt>
                <c:pt idx="105">
                  <c:v>1.6552355696532264</c:v>
                </c:pt>
                <c:pt idx="106">
                  <c:v>1.7134794967261828</c:v>
                </c:pt>
                <c:pt idx="107">
                  <c:v>1.7730589832858266</c:v>
                </c:pt>
                <c:pt idx="108">
                  <c:v>1.8339796224292833</c:v>
                </c:pt>
                <c:pt idx="109">
                  <c:v>1.8962472083635578</c:v>
                </c:pt>
                <c:pt idx="110">
                  <c:v>1.959867716446086</c:v>
                </c:pt>
                <c:pt idx="111">
                  <c:v>2.0248472852351385</c:v>
                </c:pt>
                <c:pt idx="112">
                  <c:v>2.0911922003146035</c:v>
                </c:pt>
                <c:pt idx="113">
                  <c:v>2.1589088796898452</c:v>
                </c:pt>
                <c:pt idx="114">
                  <c:v>2.2280038605784376</c:v>
                </c:pt>
                <c:pt idx="115">
                  <c:v>2.2984837874425614</c:v>
                </c:pt>
                <c:pt idx="116">
                  <c:v>2.3703554011293848</c:v>
                </c:pt>
                <c:pt idx="117">
                  <c:v>2.4436255290024196</c:v>
                </c:pt>
                <c:pt idx="118">
                  <c:v>2.5183010759611619</c:v>
                </c:pt>
                <c:pt idx="119">
                  <c:v>2.5943890162586092</c:v>
                </c:pt>
              </c:numCache>
            </c:numRef>
          </c:xVal>
          <c:yVal>
            <c:numRef>
              <c:f>Calculations!$X$18:$X$137</c:f>
              <c:numCache>
                <c:formatCode>General</c:formatCode>
                <c:ptCount val="120"/>
                <c:pt idx="0">
                  <c:v>0</c:v>
                </c:pt>
                <c:pt idx="1">
                  <c:v>5.9420737914835922E-3</c:v>
                </c:pt>
                <c:pt idx="2">
                  <c:v>1.6832287925198801E-2</c:v>
                </c:pt>
                <c:pt idx="3">
                  <c:v>2.4562249743974432E-2</c:v>
                </c:pt>
                <c:pt idx="4">
                  <c:v>3.3724614836442554E-2</c:v>
                </c:pt>
                <c:pt idx="5">
                  <c:v>4.1779419054094921E-2</c:v>
                </c:pt>
                <c:pt idx="6">
                  <c:v>5.0677682032479882E-2</c:v>
                </c:pt>
                <c:pt idx="7">
                  <c:v>5.8891727300198968E-2</c:v>
                </c:pt>
                <c:pt idx="8">
                  <c:v>6.7690811220787989E-2</c:v>
                </c:pt>
                <c:pt idx="9">
                  <c:v>7.6009696798010257E-2</c:v>
                </c:pt>
                <c:pt idx="10">
                  <c:v>8.4763224581131377E-2</c:v>
                </c:pt>
                <c:pt idx="11">
                  <c:v>9.3162190119266533E-2</c:v>
                </c:pt>
                <c:pt idx="12">
                  <c:v>0.10189413256763878</c:v>
                </c:pt>
                <c:pt idx="13">
                  <c:v>0.11035972906279411</c:v>
                </c:pt>
                <c:pt idx="14">
                  <c:v>0.11908275125813643</c:v>
                </c:pt>
                <c:pt idx="15">
                  <c:v>0.12760679025998273</c:v>
                </c:pt>
                <c:pt idx="16">
                  <c:v>0.13632830725863607</c:v>
                </c:pt>
                <c:pt idx="17">
                  <c:v>0.14490538128594252</c:v>
                </c:pt>
                <c:pt idx="18">
                  <c:v>0.15363003932236574</c:v>
                </c:pt>
                <c:pt idx="19">
                  <c:v>0.16225635054716012</c:v>
                </c:pt>
                <c:pt idx="20">
                  <c:v>0.17098719887392233</c:v>
                </c:pt>
                <c:pt idx="21">
                  <c:v>0.179659946622864</c:v>
                </c:pt>
                <c:pt idx="22">
                  <c:v>0.1883990501081213</c:v>
                </c:pt>
                <c:pt idx="23">
                  <c:v>0.19711608504985603</c:v>
                </c:pt>
                <c:pt idx="24">
                  <c:v>0.20586486990540323</c:v>
                </c:pt>
                <c:pt idx="25">
                  <c:v>0.21462448671051038</c:v>
                </c:pt>
                <c:pt idx="26">
                  <c:v>0.22338394766253397</c:v>
                </c:pt>
                <c:pt idx="27">
                  <c:v>0.23218475451174325</c:v>
                </c:pt>
                <c:pt idx="28">
                  <c:v>0.24095558508286427</c:v>
                </c:pt>
                <c:pt idx="29">
                  <c:v>0.24979641818932277</c:v>
                </c:pt>
                <c:pt idx="30">
                  <c:v>0.25857909594750905</c:v>
                </c:pt>
                <c:pt idx="31">
                  <c:v>0.26745896165221494</c:v>
                </c:pt>
                <c:pt idx="32">
                  <c:v>0.27625380587837334</c:v>
                </c:pt>
                <c:pt idx="33">
                  <c:v>0.28517184028440001</c:v>
                </c:pt>
                <c:pt idx="34">
                  <c:v>0.29397905209887354</c:v>
                </c:pt>
                <c:pt idx="35">
                  <c:v>0.30292143234808616</c:v>
                </c:pt>
                <c:pt idx="36">
                  <c:v>0.31175418319559794</c:v>
                </c:pt>
                <c:pt idx="37">
                  <c:v>0.32070357649457837</c:v>
                </c:pt>
                <c:pt idx="38">
                  <c:v>0.32957855888274096</c:v>
                </c:pt>
                <c:pt idx="39">
                  <c:v>0.33853549050195775</c:v>
                </c:pt>
                <c:pt idx="40">
                  <c:v>0.3474515497703663</c:v>
                </c:pt>
                <c:pt idx="41">
                  <c:v>0.35641642959375203</c:v>
                </c:pt>
                <c:pt idx="42">
                  <c:v>0.36537253713709111</c:v>
                </c:pt>
                <c:pt idx="43">
                  <c:v>0.37434568144401947</c:v>
                </c:pt>
                <c:pt idx="44">
                  <c:v>0.38334091270752185</c:v>
                </c:pt>
                <c:pt idx="45">
                  <c:v>0.39232256125265247</c:v>
                </c:pt>
                <c:pt idx="46">
                  <c:v>0.40135607843459631</c:v>
                </c:pt>
                <c:pt idx="47">
                  <c:v>0.41034640798698135</c:v>
                </c:pt>
                <c:pt idx="48">
                  <c:v>0.41941744628689404</c:v>
                </c:pt>
                <c:pt idx="49">
                  <c:v>0.42841658146848849</c:v>
                </c:pt>
                <c:pt idx="50">
                  <c:v>0.43751172706943636</c:v>
                </c:pt>
                <c:pt idx="51">
                  <c:v>0.44653246008107889</c:v>
                </c:pt>
                <c:pt idx="52">
                  <c:v>0.45563401419770111</c:v>
                </c:pt>
                <c:pt idx="53">
                  <c:v>0.46469343894279264</c:v>
                </c:pt>
                <c:pt idx="54">
                  <c:v>0.47380158859079785</c:v>
                </c:pt>
                <c:pt idx="55">
                  <c:v>0.48289892842749743</c:v>
                </c:pt>
                <c:pt idx="56">
                  <c:v>0.49201381823521823</c:v>
                </c:pt>
                <c:pt idx="57">
                  <c:v>0.50114835295401894</c:v>
                </c:pt>
                <c:pt idx="58">
                  <c:v>0.51027009126827672</c:v>
                </c:pt>
                <c:pt idx="59">
                  <c:v>0.51944114998193469</c:v>
                </c:pt>
                <c:pt idx="60">
                  <c:v>0.52857982729017283</c:v>
                </c:pt>
                <c:pt idx="61">
                  <c:v>0.53786661291208337</c:v>
                </c:pt>
                <c:pt idx="62">
                  <c:v>0.54716191836074179</c:v>
                </c:pt>
                <c:pt idx="63">
                  <c:v>0.5566091165831426</c:v>
                </c:pt>
                <c:pt idx="64">
                  <c:v>0.56610304181272131</c:v>
                </c:pt>
                <c:pt idx="65">
                  <c:v>0.57570640617513025</c:v>
                </c:pt>
                <c:pt idx="66">
                  <c:v>0.58539944460159288</c:v>
                </c:pt>
                <c:pt idx="67">
                  <c:v>0.59515490977730467</c:v>
                </c:pt>
                <c:pt idx="68">
                  <c:v>0.60504727337750441</c:v>
                </c:pt>
                <c:pt idx="69">
                  <c:v>0.6149510359826853</c:v>
                </c:pt>
                <c:pt idx="70">
                  <c:v>0.62498765780535137</c:v>
                </c:pt>
                <c:pt idx="71">
                  <c:v>0.63509118457989611</c:v>
                </c:pt>
                <c:pt idx="72">
                  <c:v>0.64199227763287081</c:v>
                </c:pt>
                <c:pt idx="73">
                  <c:v>0.64972405943920752</c:v>
                </c:pt>
                <c:pt idx="74">
                  <c:v>0.65980971100208508</c:v>
                </c:pt>
                <c:pt idx="75">
                  <c:v>0.67169329432384672</c:v>
                </c:pt>
                <c:pt idx="76">
                  <c:v>0.68501176258735563</c:v>
                </c:pt>
                <c:pt idx="77">
                  <c:v>0.6996181421821146</c:v>
                </c:pt>
                <c:pt idx="78">
                  <c:v>0.71535222911102458</c:v>
                </c:pt>
                <c:pt idx="79">
                  <c:v>0.73209094122958551</c:v>
                </c:pt>
                <c:pt idx="80">
                  <c:v>0.74973616109348939</c:v>
                </c:pt>
                <c:pt idx="81">
                  <c:v>0.76820759304800501</c:v>
                </c:pt>
                <c:pt idx="82">
                  <c:v>0.78743822199173386</c:v>
                </c:pt>
                <c:pt idx="83">
                  <c:v>0.80736208901358708</c:v>
                </c:pt>
                <c:pt idx="84">
                  <c:v>0.82789637264989013</c:v>
                </c:pt>
                <c:pt idx="85">
                  <c:v>0.84903534330163055</c:v>
                </c:pt>
                <c:pt idx="86">
                  <c:v>0.87074286226368047</c:v>
                </c:pt>
                <c:pt idx="87">
                  <c:v>0.89295788369422513</c:v>
                </c:pt>
                <c:pt idx="88">
                  <c:v>0.9156342569992274</c:v>
                </c:pt>
                <c:pt idx="89">
                  <c:v>0.93878987699277694</c:v>
                </c:pt>
                <c:pt idx="90">
                  <c:v>0.9623478647198398</c:v>
                </c:pt>
                <c:pt idx="91">
                  <c:v>0.98630990878703084</c:v>
                </c:pt>
                <c:pt idx="92">
                  <c:v>1.0106232258075531</c:v>
                </c:pt>
                <c:pt idx="93">
                  <c:v>1.0350099890717663</c:v>
                </c:pt>
                <c:pt idx="94">
                  <c:v>1.0594865106800764</c:v>
                </c:pt>
                <c:pt idx="95">
                  <c:v>1.0839130929578289</c:v>
                </c:pt>
                <c:pt idx="96">
                  <c:v>1.1084182526068749</c:v>
                </c:pt>
                <c:pt idx="97">
                  <c:v>1.1328589965097928</c:v>
                </c:pt>
                <c:pt idx="98">
                  <c:v>1.1573439978740416</c:v>
                </c:pt>
                <c:pt idx="99">
                  <c:v>1.1817808288363292</c:v>
                </c:pt>
                <c:pt idx="100">
                  <c:v>1.2062206953038328</c:v>
                </c:pt>
                <c:pt idx="101">
                  <c:v>1.230632032784269</c:v>
                </c:pt>
                <c:pt idx="102">
                  <c:v>1.2550094162614047</c:v>
                </c:pt>
                <c:pt idx="103">
                  <c:v>1.2793808649937009</c:v>
                </c:pt>
                <c:pt idx="104">
                  <c:v>1.3036840368168638</c:v>
                </c:pt>
                <c:pt idx="105">
                  <c:v>1.3280063984137036</c:v>
                </c:pt>
                <c:pt idx="106">
                  <c:v>1.3522277742121385</c:v>
                </c:pt>
                <c:pt idx="107">
                  <c:v>1.3764680425092057</c:v>
                </c:pt>
                <c:pt idx="108">
                  <c:v>1.4006306502295829</c:v>
                </c:pt>
                <c:pt idx="109">
                  <c:v>1.4247808836080318</c:v>
                </c:pt>
                <c:pt idx="110">
                  <c:v>1.4488876254804217</c:v>
                </c:pt>
                <c:pt idx="111">
                  <c:v>1.4729465363610537</c:v>
                </c:pt>
                <c:pt idx="112">
                  <c:v>1.4969972225143222</c:v>
                </c:pt>
                <c:pt idx="113">
                  <c:v>1.5209649296983165</c:v>
                </c:pt>
                <c:pt idx="114">
                  <c:v>1.5449414684581328</c:v>
                </c:pt>
                <c:pt idx="115">
                  <c:v>1.5688381418755801</c:v>
                </c:pt>
                <c:pt idx="116">
                  <c:v>1.5927235123219712</c:v>
                </c:pt>
                <c:pt idx="117">
                  <c:v>1.6165697445470788</c:v>
                </c:pt>
                <c:pt idx="118">
                  <c:v>1.6403661783515582</c:v>
                </c:pt>
                <c:pt idx="119">
                  <c:v>1.6641643171226757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66BD-EF42-BA75-6F84345E53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22579535"/>
        <c:axId val="1840015663"/>
      </c:scatterChart>
      <c:valAx>
        <c:axId val="2122579535"/>
        <c:scaling>
          <c:orientation val="minMax"/>
          <c:max val="3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Q/Qbf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40015663"/>
        <c:crosses val="autoZero"/>
        <c:crossBetween val="midCat"/>
      </c:valAx>
      <c:valAx>
        <c:axId val="184001566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Water depth /H_bf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2579535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4"/>
          <c:order val="0"/>
          <c:tx>
            <c:v>slider location</c:v>
          </c:tx>
          <c:spPr>
            <a:ln w="3175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Calculations!$AC$13:$AC$14</c:f>
              <c:numCache>
                <c:formatCode>General</c:formatCode>
                <c:ptCount val="2"/>
                <c:pt idx="0">
                  <c:v>1.33</c:v>
                </c:pt>
                <c:pt idx="1">
                  <c:v>1.33</c:v>
                </c:pt>
              </c:numCache>
            </c:numRef>
          </c:xVal>
          <c:yVal>
            <c:numRef>
              <c:f>Calculations!$AD$13:$AD$14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A9B-B246-9307-AB90BAD03E31}"/>
            </c:ext>
          </c:extLst>
        </c:ser>
        <c:ser>
          <c:idx val="0"/>
          <c:order val="1"/>
          <c:tx>
            <c:v>Backwater length (m)</c:v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FF9300"/>
              </a:solidFill>
              <a:ln w="9525">
                <a:solidFill>
                  <a:srgbClr val="FF9300"/>
                </a:solidFill>
              </a:ln>
              <a:effectLst/>
            </c:spPr>
          </c:marker>
          <c:xVal>
            <c:numRef>
              <c:f>Calculations!$W$18:$W$137</c:f>
              <c:numCache>
                <c:formatCode>General</c:formatCode>
                <c:ptCount val="120"/>
                <c:pt idx="0">
                  <c:v>0</c:v>
                </c:pt>
                <c:pt idx="1">
                  <c:v>6.6213657618227064E-4</c:v>
                </c:pt>
                <c:pt idx="2">
                  <c:v>1.8780363513894462E-3</c:v>
                </c:pt>
                <c:pt idx="3">
                  <c:v>3.4597835944614095E-3</c:v>
                </c:pt>
                <c:pt idx="4">
                  <c:v>5.3414816536715018E-3</c:v>
                </c:pt>
                <c:pt idx="5">
                  <c:v>7.4856260739270125E-3</c:v>
                </c:pt>
                <c:pt idx="6">
                  <c:v>9.8672936456959091E-3</c:v>
                </c:pt>
                <c:pt idx="7">
                  <c:v>1.2468465152634023E-2</c:v>
                </c:pt>
                <c:pt idx="8">
                  <c:v>1.5275393164504686E-2</c:v>
                </c:pt>
                <c:pt idx="9">
                  <c:v>1.8277188954841331E-2</c:v>
                </c:pt>
                <c:pt idx="10">
                  <c:v>2.1464986339185952E-2</c:v>
                </c:pt>
                <c:pt idx="11">
                  <c:v>2.4831411018605254E-2</c:v>
                </c:pt>
                <c:pt idx="12">
                  <c:v>2.8370225474583552E-2</c:v>
                </c:pt>
                <c:pt idx="13">
                  <c:v>3.2076081235579618E-2</c:v>
                </c:pt>
                <c:pt idx="14">
                  <c:v>3.5944340138617761E-2</c:v>
                </c:pt>
                <c:pt idx="15">
                  <c:v>3.997094174071375E-2</c:v>
                </c:pt>
                <c:pt idx="16">
                  <c:v>4.4152302644198775E-2</c:v>
                </c:pt>
                <c:pt idx="17">
                  <c:v>4.8485238520134102E-2</c:v>
                </c:pt>
                <c:pt idx="18">
                  <c:v>5.2966902668017103E-2</c:v>
                </c:pt>
                <c:pt idx="19">
                  <c:v>5.7594736876059885E-2</c:v>
                </c:pt>
                <c:pt idx="20">
                  <c:v>6.2366431599347703E-2</c:v>
                </c:pt>
                <c:pt idx="21">
                  <c:v>6.7279893310688357E-2</c:v>
                </c:pt>
                <c:pt idx="22">
                  <c:v>7.2333217452206999E-2</c:v>
                </c:pt>
                <c:pt idx="23">
                  <c:v>7.7524665816461807E-2</c:v>
                </c:pt>
                <c:pt idx="24">
                  <c:v>8.2852647471297877E-2</c:v>
                </c:pt>
                <c:pt idx="25">
                  <c:v>8.8315702549450883E-2</c:v>
                </c:pt>
                <c:pt idx="26">
                  <c:v>9.3912488376031306E-2</c:v>
                </c:pt>
                <c:pt idx="27">
                  <c:v>9.9641767520488561E-2</c:v>
                </c:pt>
                <c:pt idx="28">
                  <c:v>0.10550239744536481</c:v>
                </c:pt>
                <c:pt idx="29">
                  <c:v>0.1114933214896522</c:v>
                </c:pt>
                <c:pt idx="30">
                  <c:v>0.11761356097516047</c:v>
                </c:pt>
                <c:pt idx="31">
                  <c:v>0.12386220826376709</c:v>
                </c:pt>
                <c:pt idx="32">
                  <c:v>0.13023842062448929</c:v>
                </c:pt>
                <c:pt idx="33">
                  <c:v>0.13674141479397958</c:v>
                </c:pt>
                <c:pt idx="34">
                  <c:v>0.14337046213377877</c:v>
                </c:pt>
                <c:pt idx="35">
                  <c:v>0.15012488430356841</c:v>
                </c:pt>
                <c:pt idx="36">
                  <c:v>0.15700404938257156</c:v>
                </c:pt>
                <c:pt idx="37">
                  <c:v>0.16400736838179766</c:v>
                </c:pt>
                <c:pt idx="38">
                  <c:v>0.17113429209849124</c:v>
                </c:pt>
                <c:pt idx="39">
                  <c:v>0.17838430827130819</c:v>
                </c:pt>
                <c:pt idx="40">
                  <c:v>0.18575693900069393</c:v>
                </c:pt>
                <c:pt idx="41">
                  <c:v>0.19325173840390808</c:v>
                </c:pt>
                <c:pt idx="42">
                  <c:v>0.20086829047831323</c:v>
                </c:pt>
                <c:pt idx="43">
                  <c:v>0.20860620715005959</c:v>
                </c:pt>
                <c:pt idx="44">
                  <c:v>0.21646512648827665</c:v>
                </c:pt>
                <c:pt idx="45">
                  <c:v>0.22444471106741415</c:v>
                </c:pt>
                <c:pt idx="46">
                  <c:v>0.23254464646253259</c:v>
                </c:pt>
                <c:pt idx="47">
                  <c:v>0.24076463986419772</c:v>
                </c:pt>
                <c:pt idx="48">
                  <c:v>0.24910441880122192</c:v>
                </c:pt>
                <c:pt idx="49">
                  <c:v>0.25756372996086813</c:v>
                </c:pt>
                <c:pt idx="50">
                  <c:v>0.26614233809732102</c:v>
                </c:pt>
                <c:pt idx="51">
                  <c:v>0.27484002502025917</c:v>
                </c:pt>
                <c:pt idx="52">
                  <c:v>0.28365658865626153</c:v>
                </c:pt>
                <c:pt idx="53">
                  <c:v>0.29259184217656348</c:v>
                </c:pt>
                <c:pt idx="54">
                  <c:v>0.3016456131853657</c:v>
                </c:pt>
                <c:pt idx="55">
                  <c:v>0.31081774296349984</c:v>
                </c:pt>
                <c:pt idx="56">
                  <c:v>0.32010808576278543</c:v>
                </c:pt>
                <c:pt idx="57">
                  <c:v>0.32951650814688238</c:v>
                </c:pt>
                <c:pt idx="58">
                  <c:v>0.33904288837485203</c:v>
                </c:pt>
                <c:pt idx="59">
                  <c:v>0.34868711582401041</c:v>
                </c:pt>
                <c:pt idx="60">
                  <c:v>0.3584598353257944</c:v>
                </c:pt>
                <c:pt idx="61">
                  <c:v>0.36842622870113934</c:v>
                </c:pt>
                <c:pt idx="62">
                  <c:v>0.3785989931698156</c:v>
                </c:pt>
                <c:pt idx="63">
                  <c:v>0.38898014603578052</c:v>
                </c:pt>
                <c:pt idx="64">
                  <c:v>0.39957168057336778</c:v>
                </c:pt>
                <c:pt idx="65">
                  <c:v>0.41037556689935695</c:v>
                </c:pt>
                <c:pt idx="66">
                  <c:v>0.42139375279502145</c:v>
                </c:pt>
                <c:pt idx="67">
                  <c:v>0.43262816448192087</c:v>
                </c:pt>
                <c:pt idx="68">
                  <c:v>0.44408070735486532</c:v>
                </c:pt>
                <c:pt idx="69">
                  <c:v>0.45575326667516458</c:v>
                </c:pt>
                <c:pt idx="70">
                  <c:v>0.4676477082270058</c:v>
                </c:pt>
                <c:pt idx="71">
                  <c:v>0.47976587893955325</c:v>
                </c:pt>
                <c:pt idx="72">
                  <c:v>0.48811217390320039</c:v>
                </c:pt>
                <c:pt idx="73">
                  <c:v>0.49754584051652551</c:v>
                </c:pt>
                <c:pt idx="74">
                  <c:v>0.50994121114255075</c:v>
                </c:pt>
                <c:pt idx="75">
                  <c:v>0.52468577249397763</c:v>
                </c:pt>
                <c:pt idx="76">
                  <c:v>0.54147266030240049</c:v>
                </c:pt>
                <c:pt idx="77">
                  <c:v>0.56011185394843022</c:v>
                </c:pt>
                <c:pt idx="78">
                  <c:v>0.58047323019368824</c:v>
                </c:pt>
                <c:pt idx="79">
                  <c:v>0.60246225539905685</c:v>
                </c:pt>
                <c:pt idx="80">
                  <c:v>0.62600757313935573</c:v>
                </c:pt>
                <c:pt idx="81">
                  <c:v>0.65105390274341113</c:v>
                </c:pt>
                <c:pt idx="82">
                  <c:v>0.67755763967903682</c:v>
                </c:pt>
                <c:pt idx="83">
                  <c:v>0.70548396360447618</c:v>
                </c:pt>
                <c:pt idx="84">
                  <c:v>0.73480484820894898</c:v>
                </c:pt>
                <c:pt idx="85">
                  <c:v>0.76549764053401836</c:v>
                </c:pt>
                <c:pt idx="86">
                  <c:v>0.79754401599051172</c:v>
                </c:pt>
                <c:pt idx="87">
                  <c:v>0.83092919031456669</c:v>
                </c:pt>
                <c:pt idx="88">
                  <c:v>0.86564131263300426</c:v>
                </c:pt>
                <c:pt idx="89">
                  <c:v>0.9016709895122087</c:v>
                </c:pt>
                <c:pt idx="90">
                  <c:v>0.93901090586014924</c:v>
                </c:pt>
                <c:pt idx="91">
                  <c:v>0.97765551883930268</c:v>
                </c:pt>
                <c:pt idx="92">
                  <c:v>1.0176008077578889</c:v>
                </c:pt>
                <c:pt idx="93">
                  <c:v>1.058844067528758</c:v>
                </c:pt>
                <c:pt idx="94">
                  <c:v>1.1013837364928754</c:v>
                </c:pt>
                <c:pt idx="95">
                  <c:v>1.145219251674862</c:v>
                </c:pt>
                <c:pt idx="96">
                  <c:v>1.1903509261740757</c:v>
                </c:pt>
                <c:pt idx="97">
                  <c:v>1.2367798445925864</c:v>
                </c:pt>
                <c:pt idx="98">
                  <c:v>1.2845077732912835</c:v>
                </c:pt>
                <c:pt idx="99">
                  <c:v>1.3335370829352569</c:v>
                </c:pt>
                <c:pt idx="100">
                  <c:v>1.383870681300025</c:v>
                </c:pt>
                <c:pt idx="101">
                  <c:v>1.435511954703484</c:v>
                </c:pt>
                <c:pt idx="102">
                  <c:v>1.4884647167345668</c:v>
                </c:pt>
                <c:pt idx="103">
                  <c:v>1.5427331631901957</c:v>
                </c:pt>
                <c:pt idx="104">
                  <c:v>1.5983218323228165</c:v>
                </c:pt>
                <c:pt idx="105">
                  <c:v>1.6552355696532264</c:v>
                </c:pt>
                <c:pt idx="106">
                  <c:v>1.7134794967261828</c:v>
                </c:pt>
                <c:pt idx="107">
                  <c:v>1.7730589832858266</c:v>
                </c:pt>
                <c:pt idx="108">
                  <c:v>1.8339796224292833</c:v>
                </c:pt>
                <c:pt idx="109">
                  <c:v>1.8962472083635578</c:v>
                </c:pt>
                <c:pt idx="110">
                  <c:v>1.959867716446086</c:v>
                </c:pt>
                <c:pt idx="111">
                  <c:v>2.0248472852351385</c:v>
                </c:pt>
                <c:pt idx="112">
                  <c:v>2.0911922003146035</c:v>
                </c:pt>
                <c:pt idx="113">
                  <c:v>2.1589088796898452</c:v>
                </c:pt>
                <c:pt idx="114">
                  <c:v>2.2280038605784376</c:v>
                </c:pt>
                <c:pt idx="115">
                  <c:v>2.2984837874425614</c:v>
                </c:pt>
                <c:pt idx="116">
                  <c:v>2.3703554011293848</c:v>
                </c:pt>
                <c:pt idx="117">
                  <c:v>2.4436255290024196</c:v>
                </c:pt>
                <c:pt idx="118">
                  <c:v>2.5183010759611619</c:v>
                </c:pt>
                <c:pt idx="119">
                  <c:v>2.5943890162586092</c:v>
                </c:pt>
              </c:numCache>
            </c:numRef>
          </c:xVal>
          <c:yVal>
            <c:numRef>
              <c:f>Calculations!$Q$18:$Q$137</c:f>
              <c:numCache>
                <c:formatCode>General</c:formatCode>
                <c:ptCount val="120"/>
                <c:pt idx="0">
                  <c:v>0</c:v>
                </c:pt>
                <c:pt idx="1">
                  <c:v>2.172929779518407</c:v>
                </c:pt>
                <c:pt idx="2">
                  <c:v>3.3562314905904915</c:v>
                </c:pt>
                <c:pt idx="3">
                  <c:v>5.171583664650492</c:v>
                </c:pt>
                <c:pt idx="4">
                  <c:v>6.700455183971993</c:v>
                </c:pt>
                <c:pt idx="5">
                  <c:v>8.4508388782566453</c:v>
                </c:pt>
                <c:pt idx="6">
                  <c:v>10.032530820394777</c:v>
                </c:pt>
                <c:pt idx="7">
                  <c:v>11.751066304666086</c:v>
                </c:pt>
                <c:pt idx="8">
                  <c:v>13.35259405836341</c:v>
                </c:pt>
                <c:pt idx="9">
                  <c:v>15.050161480734081</c:v>
                </c:pt>
                <c:pt idx="10">
                  <c:v>16.660800461924982</c:v>
                </c:pt>
                <c:pt idx="11">
                  <c:v>18.342351892113076</c:v>
                </c:pt>
                <c:pt idx="12">
                  <c:v>19.957307940253752</c:v>
                </c:pt>
                <c:pt idx="13">
                  <c:v>21.625533179037813</c:v>
                </c:pt>
                <c:pt idx="14">
                  <c:v>23.242273277784474</c:v>
                </c:pt>
                <c:pt idx="15">
                  <c:v>24.898810015230342</c:v>
                </c:pt>
                <c:pt idx="16">
                  <c:v>26.515851153314802</c:v>
                </c:pt>
                <c:pt idx="17">
                  <c:v>28.161780885668634</c:v>
                </c:pt>
                <c:pt idx="18">
                  <c:v>29.778193816199117</c:v>
                </c:pt>
                <c:pt idx="19">
                  <c:v>31.414276109055365</c:v>
                </c:pt>
                <c:pt idx="20">
                  <c:v>33.029450981518046</c:v>
                </c:pt>
                <c:pt idx="21">
                  <c:v>34.656245969544841</c:v>
                </c:pt>
                <c:pt idx="22">
                  <c:v>36.269769810308503</c:v>
                </c:pt>
                <c:pt idx="23">
                  <c:v>37.887707359776684</c:v>
                </c:pt>
                <c:pt idx="24">
                  <c:v>39.499294926482371</c:v>
                </c:pt>
                <c:pt idx="25">
                  <c:v>41.108716103276066</c:v>
                </c:pt>
                <c:pt idx="26">
                  <c:v>42.71816845068647</c:v>
                </c:pt>
                <c:pt idx="27">
                  <c:v>44.319351618659738</c:v>
                </c:pt>
                <c:pt idx="28">
                  <c:v>45.926530042250661</c:v>
                </c:pt>
                <c:pt idx="29">
                  <c:v>47.519707958774084</c:v>
                </c:pt>
                <c:pt idx="30">
                  <c:v>49.124516944951964</c:v>
                </c:pt>
                <c:pt idx="31">
                  <c:v>50.709888341825923</c:v>
                </c:pt>
                <c:pt idx="32">
                  <c:v>52.312264034409381</c:v>
                </c:pt>
                <c:pt idx="33">
                  <c:v>53.890001691019187</c:v>
                </c:pt>
                <c:pt idx="34">
                  <c:v>55.489903865939617</c:v>
                </c:pt>
                <c:pt idx="35">
                  <c:v>57.06277235391223</c:v>
                </c:pt>
                <c:pt idx="36">
                  <c:v>58.657566722225006</c:v>
                </c:pt>
                <c:pt idx="37">
                  <c:v>60.229032600244061</c:v>
                </c:pt>
                <c:pt idx="38">
                  <c:v>61.815380660426676</c:v>
                </c:pt>
                <c:pt idx="39">
                  <c:v>63.385338874398457</c:v>
                </c:pt>
                <c:pt idx="40">
                  <c:v>64.963471558531879</c:v>
                </c:pt>
                <c:pt idx="41">
                  <c:v>66.531840131669867</c:v>
                </c:pt>
                <c:pt idx="42">
                  <c:v>68.101963160817192</c:v>
                </c:pt>
                <c:pt idx="43">
                  <c:v>69.668678837246659</c:v>
                </c:pt>
                <c:pt idx="44">
                  <c:v>71.23097712236131</c:v>
                </c:pt>
                <c:pt idx="45">
                  <c:v>72.795991951150327</c:v>
                </c:pt>
                <c:pt idx="46">
                  <c:v>74.350633052576697</c:v>
                </c:pt>
                <c:pt idx="47">
                  <c:v>75.913911679914818</c:v>
                </c:pt>
                <c:pt idx="48">
                  <c:v>77.461048557747418</c:v>
                </c:pt>
                <c:pt idx="49">
                  <c:v>79.022566059243672</c:v>
                </c:pt>
                <c:pt idx="50">
                  <c:v>80.564881476869232</c:v>
                </c:pt>
                <c:pt idx="51">
                  <c:v>82.122079412355859</c:v>
                </c:pt>
                <c:pt idx="52">
                  <c:v>83.663113126846554</c:v>
                </c:pt>
                <c:pt idx="53">
                  <c:v>85.21257271564339</c:v>
                </c:pt>
                <c:pt idx="54">
                  <c:v>86.752287323857473</c:v>
                </c:pt>
                <c:pt idx="55">
                  <c:v>88.294163894332698</c:v>
                </c:pt>
                <c:pt idx="56">
                  <c:v>89.832530470603672</c:v>
                </c:pt>
                <c:pt idx="57">
                  <c:v>91.366968064658664</c:v>
                </c:pt>
                <c:pt idx="58">
                  <c:v>92.903964939622256</c:v>
                </c:pt>
                <c:pt idx="59">
                  <c:v>94.431097734705787</c:v>
                </c:pt>
                <c:pt idx="60">
                  <c:v>95.964706810873295</c:v>
                </c:pt>
                <c:pt idx="61">
                  <c:v>97.468694224306304</c:v>
                </c:pt>
                <c:pt idx="62">
                  <c:v>98.970977672389736</c:v>
                </c:pt>
                <c:pt idx="63">
                  <c:v>100.44288256572469</c:v>
                </c:pt>
                <c:pt idx="64">
                  <c:v>101.90544205762406</c:v>
                </c:pt>
                <c:pt idx="65">
                  <c:v>103.34611372295738</c:v>
                </c:pt>
                <c:pt idx="66">
                  <c:v>104.76885057547997</c:v>
                </c:pt>
                <c:pt idx="67">
                  <c:v>106.17910207815272</c:v>
                </c:pt>
                <c:pt idx="68">
                  <c:v>107.56197389592789</c:v>
                </c:pt>
                <c:pt idx="69">
                  <c:v>108.94256591270683</c:v>
                </c:pt>
                <c:pt idx="70">
                  <c:v>110.29658608598874</c:v>
                </c:pt>
                <c:pt idx="71">
                  <c:v>111.63722526889489</c:v>
                </c:pt>
                <c:pt idx="72">
                  <c:v>113.61835119611507</c:v>
                </c:pt>
                <c:pt idx="73">
                  <c:v>115.43333937266284</c:v>
                </c:pt>
                <c:pt idx="74">
                  <c:v>116.77755359790245</c:v>
                </c:pt>
                <c:pt idx="75">
                  <c:v>117.76218147136524</c:v>
                </c:pt>
                <c:pt idx="76">
                  <c:v>118.45983235647857</c:v>
                </c:pt>
                <c:pt idx="77">
                  <c:v>118.89990097534188</c:v>
                </c:pt>
                <c:pt idx="78">
                  <c:v>119.11442812737501</c:v>
                </c:pt>
                <c:pt idx="79">
                  <c:v>119.12803024147793</c:v>
                </c:pt>
                <c:pt idx="80">
                  <c:v>118.96033080651227</c:v>
                </c:pt>
                <c:pt idx="81">
                  <c:v>118.62738895342426</c:v>
                </c:pt>
                <c:pt idx="82">
                  <c:v>118.14260770249361</c:v>
                </c:pt>
                <c:pt idx="83">
                  <c:v>117.51917883593808</c:v>
                </c:pt>
                <c:pt idx="84">
                  <c:v>116.77366664649257</c:v>
                </c:pt>
                <c:pt idx="85">
                  <c:v>115.90721705395961</c:v>
                </c:pt>
                <c:pt idx="86">
                  <c:v>114.92705779936473</c:v>
                </c:pt>
                <c:pt idx="87">
                  <c:v>113.84539805107092</c:v>
                </c:pt>
                <c:pt idx="88">
                  <c:v>112.67146792788559</c:v>
                </c:pt>
                <c:pt idx="89">
                  <c:v>111.40168846699079</c:v>
                </c:pt>
                <c:pt idx="90">
                  <c:v>110.05143545939333</c:v>
                </c:pt>
                <c:pt idx="91">
                  <c:v>108.62037118377023</c:v>
                </c:pt>
                <c:pt idx="92">
                  <c:v>107.11905231748089</c:v>
                </c:pt>
                <c:pt idx="93">
                  <c:v>105.60304420245336</c:v>
                </c:pt>
                <c:pt idx="94">
                  <c:v>104.06908441860647</c:v>
                </c:pt>
                <c:pt idx="95">
                  <c:v>102.54511250087108</c:v>
                </c:pt>
                <c:pt idx="96">
                  <c:v>101.00542510887699</c:v>
                </c:pt>
                <c:pt idx="97">
                  <c:v>99.478620866108528</c:v>
                </c:pt>
                <c:pt idx="98">
                  <c:v>97.942965131073876</c:v>
                </c:pt>
                <c:pt idx="99">
                  <c:v>96.416943476431484</c:v>
                </c:pt>
                <c:pt idx="100">
                  <c:v>94.890314720745863</c:v>
                </c:pt>
                <c:pt idx="101">
                  <c:v>93.36939176247374</c:v>
                </c:pt>
                <c:pt idx="102">
                  <c:v>91.855259604861715</c:v>
                </c:pt>
                <c:pt idx="103">
                  <c:v>90.342314396217603</c:v>
                </c:pt>
                <c:pt idx="104">
                  <c:v>88.843024569400114</c:v>
                </c:pt>
                <c:pt idx="105">
                  <c:v>87.33989678784728</c:v>
                </c:pt>
                <c:pt idx="106">
                  <c:v>85.856966165975422</c:v>
                </c:pt>
                <c:pt idx="107">
                  <c:v>84.370257044377084</c:v>
                </c:pt>
                <c:pt idx="108">
                  <c:v>82.899080038116765</c:v>
                </c:pt>
                <c:pt idx="109">
                  <c:v>81.430377900242107</c:v>
                </c:pt>
                <c:pt idx="110">
                  <c:v>79.970374063579229</c:v>
                </c:pt>
                <c:pt idx="111">
                  <c:v>78.519936425267957</c:v>
                </c:pt>
                <c:pt idx="112">
                  <c:v>77.071143732429363</c:v>
                </c:pt>
                <c:pt idx="113">
                  <c:v>75.638946833445601</c:v>
                </c:pt>
                <c:pt idx="114">
                  <c:v>74.204983619297465</c:v>
                </c:pt>
                <c:pt idx="115">
                  <c:v>72.786993473623113</c:v>
                </c:pt>
                <c:pt idx="116">
                  <c:v>71.371263922160026</c:v>
                </c:pt>
                <c:pt idx="117">
                  <c:v>69.963362014953617</c:v>
                </c:pt>
                <c:pt idx="118">
                  <c:v>68.565419791872856</c:v>
                </c:pt>
                <c:pt idx="119">
                  <c:v>67.167136575464468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3E0-6643-9724-14AED0CADC85}"/>
            </c:ext>
          </c:extLst>
        </c:ser>
        <c:ser>
          <c:idx val="1"/>
          <c:order val="2"/>
          <c:tx>
            <c:v>Backwater volume (m3)</c:v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00B050"/>
              </a:solidFill>
              <a:ln w="9525">
                <a:solidFill>
                  <a:srgbClr val="00B050"/>
                </a:solidFill>
              </a:ln>
              <a:effectLst/>
            </c:spPr>
          </c:marker>
          <c:xVal>
            <c:numRef>
              <c:f>Calculations!$W$18:$W$136</c:f>
              <c:numCache>
                <c:formatCode>General</c:formatCode>
                <c:ptCount val="119"/>
                <c:pt idx="0">
                  <c:v>0</c:v>
                </c:pt>
                <c:pt idx="1">
                  <c:v>6.6213657618227064E-4</c:v>
                </c:pt>
                <c:pt idx="2">
                  <c:v>1.8780363513894462E-3</c:v>
                </c:pt>
                <c:pt idx="3">
                  <c:v>3.4597835944614095E-3</c:v>
                </c:pt>
                <c:pt idx="4">
                  <c:v>5.3414816536715018E-3</c:v>
                </c:pt>
                <c:pt idx="5">
                  <c:v>7.4856260739270125E-3</c:v>
                </c:pt>
                <c:pt idx="6">
                  <c:v>9.8672936456959091E-3</c:v>
                </c:pt>
                <c:pt idx="7">
                  <c:v>1.2468465152634023E-2</c:v>
                </c:pt>
                <c:pt idx="8">
                  <c:v>1.5275393164504686E-2</c:v>
                </c:pt>
                <c:pt idx="9">
                  <c:v>1.8277188954841331E-2</c:v>
                </c:pt>
                <c:pt idx="10">
                  <c:v>2.1464986339185952E-2</c:v>
                </c:pt>
                <c:pt idx="11">
                  <c:v>2.4831411018605254E-2</c:v>
                </c:pt>
                <c:pt idx="12">
                  <c:v>2.8370225474583552E-2</c:v>
                </c:pt>
                <c:pt idx="13">
                  <c:v>3.2076081235579618E-2</c:v>
                </c:pt>
                <c:pt idx="14">
                  <c:v>3.5944340138617761E-2</c:v>
                </c:pt>
                <c:pt idx="15">
                  <c:v>3.997094174071375E-2</c:v>
                </c:pt>
                <c:pt idx="16">
                  <c:v>4.4152302644198775E-2</c:v>
                </c:pt>
                <c:pt idx="17">
                  <c:v>4.8485238520134102E-2</c:v>
                </c:pt>
                <c:pt idx="18">
                  <c:v>5.2966902668017103E-2</c:v>
                </c:pt>
                <c:pt idx="19">
                  <c:v>5.7594736876059885E-2</c:v>
                </c:pt>
                <c:pt idx="20">
                  <c:v>6.2366431599347703E-2</c:v>
                </c:pt>
                <c:pt idx="21">
                  <c:v>6.7279893310688357E-2</c:v>
                </c:pt>
                <c:pt idx="22">
                  <c:v>7.2333217452206999E-2</c:v>
                </c:pt>
                <c:pt idx="23">
                  <c:v>7.7524665816461807E-2</c:v>
                </c:pt>
                <c:pt idx="24">
                  <c:v>8.2852647471297877E-2</c:v>
                </c:pt>
                <c:pt idx="25">
                  <c:v>8.8315702549450883E-2</c:v>
                </c:pt>
                <c:pt idx="26">
                  <c:v>9.3912488376031306E-2</c:v>
                </c:pt>
                <c:pt idx="27">
                  <c:v>9.9641767520488561E-2</c:v>
                </c:pt>
                <c:pt idx="28">
                  <c:v>0.10550239744536481</c:v>
                </c:pt>
                <c:pt idx="29">
                  <c:v>0.1114933214896522</c:v>
                </c:pt>
                <c:pt idx="30">
                  <c:v>0.11761356097516047</c:v>
                </c:pt>
                <c:pt idx="31">
                  <c:v>0.12386220826376709</c:v>
                </c:pt>
                <c:pt idx="32">
                  <c:v>0.13023842062448929</c:v>
                </c:pt>
                <c:pt idx="33">
                  <c:v>0.13674141479397958</c:v>
                </c:pt>
                <c:pt idx="34">
                  <c:v>0.14337046213377877</c:v>
                </c:pt>
                <c:pt idx="35">
                  <c:v>0.15012488430356841</c:v>
                </c:pt>
                <c:pt idx="36">
                  <c:v>0.15700404938257156</c:v>
                </c:pt>
                <c:pt idx="37">
                  <c:v>0.16400736838179766</c:v>
                </c:pt>
                <c:pt idx="38">
                  <c:v>0.17113429209849124</c:v>
                </c:pt>
                <c:pt idx="39">
                  <c:v>0.17838430827130819</c:v>
                </c:pt>
                <c:pt idx="40">
                  <c:v>0.18575693900069393</c:v>
                </c:pt>
                <c:pt idx="41">
                  <c:v>0.19325173840390808</c:v>
                </c:pt>
                <c:pt idx="42">
                  <c:v>0.20086829047831323</c:v>
                </c:pt>
                <c:pt idx="43">
                  <c:v>0.20860620715005959</c:v>
                </c:pt>
                <c:pt idx="44">
                  <c:v>0.21646512648827665</c:v>
                </c:pt>
                <c:pt idx="45">
                  <c:v>0.22444471106741415</c:v>
                </c:pt>
                <c:pt idx="46">
                  <c:v>0.23254464646253259</c:v>
                </c:pt>
                <c:pt idx="47">
                  <c:v>0.24076463986419772</c:v>
                </c:pt>
                <c:pt idx="48">
                  <c:v>0.24910441880122192</c:v>
                </c:pt>
                <c:pt idx="49">
                  <c:v>0.25756372996086813</c:v>
                </c:pt>
                <c:pt idx="50">
                  <c:v>0.26614233809732102</c:v>
                </c:pt>
                <c:pt idx="51">
                  <c:v>0.27484002502025917</c:v>
                </c:pt>
                <c:pt idx="52">
                  <c:v>0.28365658865626153</c:v>
                </c:pt>
                <c:pt idx="53">
                  <c:v>0.29259184217656348</c:v>
                </c:pt>
                <c:pt idx="54">
                  <c:v>0.3016456131853657</c:v>
                </c:pt>
                <c:pt idx="55">
                  <c:v>0.31081774296349984</c:v>
                </c:pt>
                <c:pt idx="56">
                  <c:v>0.32010808576278543</c:v>
                </c:pt>
                <c:pt idx="57">
                  <c:v>0.32951650814688238</c:v>
                </c:pt>
                <c:pt idx="58">
                  <c:v>0.33904288837485203</c:v>
                </c:pt>
                <c:pt idx="59">
                  <c:v>0.34868711582401041</c:v>
                </c:pt>
                <c:pt idx="60">
                  <c:v>0.3584598353257944</c:v>
                </c:pt>
                <c:pt idx="61">
                  <c:v>0.36842622870113934</c:v>
                </c:pt>
                <c:pt idx="62">
                  <c:v>0.3785989931698156</c:v>
                </c:pt>
                <c:pt idx="63">
                  <c:v>0.38898014603578052</c:v>
                </c:pt>
                <c:pt idx="64">
                  <c:v>0.39957168057336778</c:v>
                </c:pt>
                <c:pt idx="65">
                  <c:v>0.41037556689935695</c:v>
                </c:pt>
                <c:pt idx="66">
                  <c:v>0.42139375279502145</c:v>
                </c:pt>
                <c:pt idx="67">
                  <c:v>0.43262816448192087</c:v>
                </c:pt>
                <c:pt idx="68">
                  <c:v>0.44408070735486532</c:v>
                </c:pt>
                <c:pt idx="69">
                  <c:v>0.45575326667516458</c:v>
                </c:pt>
                <c:pt idx="70">
                  <c:v>0.4676477082270058</c:v>
                </c:pt>
                <c:pt idx="71">
                  <c:v>0.47976587893955325</c:v>
                </c:pt>
                <c:pt idx="72">
                  <c:v>0.48811217390320039</c:v>
                </c:pt>
                <c:pt idx="73">
                  <c:v>0.49754584051652551</c:v>
                </c:pt>
                <c:pt idx="74">
                  <c:v>0.50994121114255075</c:v>
                </c:pt>
                <c:pt idx="75">
                  <c:v>0.52468577249397763</c:v>
                </c:pt>
                <c:pt idx="76">
                  <c:v>0.54147266030240049</c:v>
                </c:pt>
                <c:pt idx="77">
                  <c:v>0.56011185394843022</c:v>
                </c:pt>
                <c:pt idx="78">
                  <c:v>0.58047323019368824</c:v>
                </c:pt>
                <c:pt idx="79">
                  <c:v>0.60246225539905685</c:v>
                </c:pt>
                <c:pt idx="80">
                  <c:v>0.62600757313935573</c:v>
                </c:pt>
                <c:pt idx="81">
                  <c:v>0.65105390274341113</c:v>
                </c:pt>
                <c:pt idx="82">
                  <c:v>0.67755763967903682</c:v>
                </c:pt>
                <c:pt idx="83">
                  <c:v>0.70548396360447618</c:v>
                </c:pt>
                <c:pt idx="84">
                  <c:v>0.73480484820894898</c:v>
                </c:pt>
                <c:pt idx="85">
                  <c:v>0.76549764053401836</c:v>
                </c:pt>
                <c:pt idx="86">
                  <c:v>0.79754401599051172</c:v>
                </c:pt>
                <c:pt idx="87">
                  <c:v>0.83092919031456669</c:v>
                </c:pt>
                <c:pt idx="88">
                  <c:v>0.86564131263300426</c:v>
                </c:pt>
                <c:pt idx="89">
                  <c:v>0.9016709895122087</c:v>
                </c:pt>
                <c:pt idx="90">
                  <c:v>0.93901090586014924</c:v>
                </c:pt>
                <c:pt idx="91">
                  <c:v>0.97765551883930268</c:v>
                </c:pt>
                <c:pt idx="92">
                  <c:v>1.0176008077578889</c:v>
                </c:pt>
                <c:pt idx="93">
                  <c:v>1.058844067528758</c:v>
                </c:pt>
                <c:pt idx="94">
                  <c:v>1.1013837364928754</c:v>
                </c:pt>
                <c:pt idx="95">
                  <c:v>1.145219251674862</c:v>
                </c:pt>
                <c:pt idx="96">
                  <c:v>1.1903509261740757</c:v>
                </c:pt>
                <c:pt idx="97">
                  <c:v>1.2367798445925864</c:v>
                </c:pt>
                <c:pt idx="98">
                  <c:v>1.2845077732912835</c:v>
                </c:pt>
                <c:pt idx="99">
                  <c:v>1.3335370829352569</c:v>
                </c:pt>
                <c:pt idx="100">
                  <c:v>1.383870681300025</c:v>
                </c:pt>
                <c:pt idx="101">
                  <c:v>1.435511954703484</c:v>
                </c:pt>
                <c:pt idx="102">
                  <c:v>1.4884647167345668</c:v>
                </c:pt>
                <c:pt idx="103">
                  <c:v>1.5427331631901957</c:v>
                </c:pt>
                <c:pt idx="104">
                  <c:v>1.5983218323228165</c:v>
                </c:pt>
                <c:pt idx="105">
                  <c:v>1.6552355696532264</c:v>
                </c:pt>
                <c:pt idx="106">
                  <c:v>1.7134794967261828</c:v>
                </c:pt>
                <c:pt idx="107">
                  <c:v>1.7730589832858266</c:v>
                </c:pt>
                <c:pt idx="108">
                  <c:v>1.8339796224292833</c:v>
                </c:pt>
                <c:pt idx="109">
                  <c:v>1.8962472083635578</c:v>
                </c:pt>
                <c:pt idx="110">
                  <c:v>1.959867716446086</c:v>
                </c:pt>
                <c:pt idx="111">
                  <c:v>2.0248472852351385</c:v>
                </c:pt>
                <c:pt idx="112">
                  <c:v>2.0911922003146035</c:v>
                </c:pt>
                <c:pt idx="113">
                  <c:v>2.1589088796898452</c:v>
                </c:pt>
                <c:pt idx="114">
                  <c:v>2.2280038605784376</c:v>
                </c:pt>
                <c:pt idx="115">
                  <c:v>2.2984837874425614</c:v>
                </c:pt>
                <c:pt idx="116">
                  <c:v>2.3703554011293848</c:v>
                </c:pt>
                <c:pt idx="117">
                  <c:v>2.4436255290024196</c:v>
                </c:pt>
                <c:pt idx="118">
                  <c:v>2.5183010759611619</c:v>
                </c:pt>
              </c:numCache>
            </c:numRef>
          </c:xVal>
          <c:yVal>
            <c:numRef>
              <c:f>Calculations!$P$18:$P$136</c:f>
              <c:numCache>
                <c:formatCode>General</c:formatCode>
                <c:ptCount val="119"/>
                <c:pt idx="0">
                  <c:v>0</c:v>
                </c:pt>
                <c:pt idx="1">
                  <c:v>3.5567817268542322E-2</c:v>
                </c:pt>
                <c:pt idx="2">
                  <c:v>8.527122943037431E-2</c:v>
                </c:pt>
                <c:pt idx="3">
                  <c:v>0.20338452114621236</c:v>
                </c:pt>
                <c:pt idx="4">
                  <c:v>0.34301287591415724</c:v>
                </c:pt>
                <c:pt idx="5">
                  <c:v>0.54811387500488506</c:v>
                </c:pt>
                <c:pt idx="6">
                  <c:v>0.77605446911246967</c:v>
                </c:pt>
                <c:pt idx="7">
                  <c:v>1.0695095324819337</c:v>
                </c:pt>
                <c:pt idx="8">
                  <c:v>1.3871988600555458</c:v>
                </c:pt>
                <c:pt idx="9">
                  <c:v>1.7702551969210993</c:v>
                </c:pt>
                <c:pt idx="10">
                  <c:v>2.1792284851180383</c:v>
                </c:pt>
                <c:pt idx="11">
                  <c:v>2.6530993282033606</c:v>
                </c:pt>
                <c:pt idx="12">
                  <c:v>3.1549062982043905</c:v>
                </c:pt>
                <c:pt idx="13">
                  <c:v>3.7207847047702276</c:v>
                </c:pt>
                <c:pt idx="14">
                  <c:v>4.3169763312782212</c:v>
                </c:pt>
                <c:pt idx="15">
                  <c:v>4.9760389923115049</c:v>
                </c:pt>
                <c:pt idx="16">
                  <c:v>5.668164176906064</c:v>
                </c:pt>
                <c:pt idx="17">
                  <c:v>6.4215729028007207</c:v>
                </c:pt>
                <c:pt idx="18">
                  <c:v>7.2111774408631062</c:v>
                </c:pt>
                <c:pt idx="19">
                  <c:v>8.0600799286765472</c:v>
                </c:pt>
                <c:pt idx="20">
                  <c:v>8.9487061767513509</c:v>
                </c:pt>
                <c:pt idx="21">
                  <c:v>9.8942365079889676</c:v>
                </c:pt>
                <c:pt idx="22">
                  <c:v>10.883423306568874</c:v>
                </c:pt>
                <c:pt idx="23">
                  <c:v>11.926702327728385</c:v>
                </c:pt>
                <c:pt idx="24">
                  <c:v>13.017985028884633</c:v>
                </c:pt>
                <c:pt idx="25">
                  <c:v>14.160120674116017</c:v>
                </c:pt>
                <c:pt idx="26">
                  <c:v>15.355031215495829</c:v>
                </c:pt>
                <c:pt idx="27">
                  <c:v>16.597118797147047</c:v>
                </c:pt>
                <c:pt idx="28">
                  <c:v>17.897185797140242</c:v>
                </c:pt>
                <c:pt idx="29">
                  <c:v>19.240308276392632</c:v>
                </c:pt>
                <c:pt idx="30">
                  <c:v>20.647057138701857</c:v>
                </c:pt>
                <c:pt idx="31">
                  <c:v>22.092285382513627</c:v>
                </c:pt>
                <c:pt idx="32">
                  <c:v>23.607238404280373</c:v>
                </c:pt>
                <c:pt idx="33">
                  <c:v>25.155631432019455</c:v>
                </c:pt>
                <c:pt idx="34">
                  <c:v>26.780307912458078</c:v>
                </c:pt>
                <c:pt idx="35">
                  <c:v>28.435480836230532</c:v>
                </c:pt>
                <c:pt idx="36">
                  <c:v>30.168829482072791</c:v>
                </c:pt>
                <c:pt idx="37">
                  <c:v>31.935624195420374</c:v>
                </c:pt>
                <c:pt idx="38">
                  <c:v>33.775352768789382</c:v>
                </c:pt>
                <c:pt idx="39">
                  <c:v>35.655289576545002</c:v>
                </c:pt>
                <c:pt idx="40">
                  <c:v>37.602413592748071</c:v>
                </c:pt>
                <c:pt idx="41">
                  <c:v>39.597009105541026</c:v>
                </c:pt>
                <c:pt idx="42">
                  <c:v>41.652534257557484</c:v>
                </c:pt>
                <c:pt idx="43">
                  <c:v>43.763301678483877</c:v>
                </c:pt>
                <c:pt idx="44">
                  <c:v>45.928223860888082</c:v>
                </c:pt>
                <c:pt idx="45">
                  <c:v>48.156673228863475</c:v>
                </c:pt>
                <c:pt idx="46">
                  <c:v>50.431978596916615</c:v>
                </c:pt>
                <c:pt idx="47">
                  <c:v>52.779616996689114</c:v>
                </c:pt>
                <c:pt idx="48">
                  <c:v>55.166282050859252</c:v>
                </c:pt>
                <c:pt idx="49">
                  <c:v>57.634613796931397</c:v>
                </c:pt>
                <c:pt idx="50">
                  <c:v>60.137331899120227</c:v>
                </c:pt>
                <c:pt idx="51">
                  <c:v>62.724132285623213</c:v>
                </c:pt>
                <c:pt idx="52">
                  <c:v>65.349429405983742</c:v>
                </c:pt>
                <c:pt idx="53">
                  <c:v>68.050629222502621</c:v>
                </c:pt>
                <c:pt idx="54">
                  <c:v>70.800008819275931</c:v>
                </c:pt>
                <c:pt idx="55">
                  <c:v>73.616549729442909</c:v>
                </c:pt>
                <c:pt idx="56">
                  <c:v>76.491512487090546</c:v>
                </c:pt>
                <c:pt idx="57">
                  <c:v>79.424327544180272</c:v>
                </c:pt>
                <c:pt idx="58">
                  <c:v>82.426371553625913</c:v>
                </c:pt>
                <c:pt idx="59">
                  <c:v>85.476385269019545</c:v>
                </c:pt>
                <c:pt idx="60">
                  <c:v>88.613490619661547</c:v>
                </c:pt>
                <c:pt idx="61">
                  <c:v>91.833333884592165</c:v>
                </c:pt>
                <c:pt idx="62">
                  <c:v>95.196768686298753</c:v>
                </c:pt>
                <c:pt idx="63">
                  <c:v>98.650072766411597</c:v>
                </c:pt>
                <c:pt idx="64">
                  <c:v>102.2323531355172</c:v>
                </c:pt>
                <c:pt idx="65">
                  <c:v>105.91886601881227</c:v>
                </c:pt>
                <c:pt idx="66">
                  <c:v>109.71637800041437</c:v>
                </c:pt>
                <c:pt idx="67">
                  <c:v>113.63528008811481</c:v>
                </c:pt>
                <c:pt idx="68">
                  <c:v>117.64374834129279</c:v>
                </c:pt>
                <c:pt idx="69">
                  <c:v>121.79362904792103</c:v>
                </c:pt>
                <c:pt idx="70">
                  <c:v>126.03231666951986</c:v>
                </c:pt>
                <c:pt idx="71">
                  <c:v>130.38699922468626</c:v>
                </c:pt>
                <c:pt idx="72">
                  <c:v>136.35465192969539</c:v>
                </c:pt>
                <c:pt idx="73">
                  <c:v>142.1435299533035</c:v>
                </c:pt>
                <c:pt idx="74">
                  <c:v>146.99840526937976</c:v>
                </c:pt>
                <c:pt idx="75">
                  <c:v>151.12589036603615</c:v>
                </c:pt>
                <c:pt idx="76">
                  <c:v>154.6616035816628</c:v>
                </c:pt>
                <c:pt idx="77">
                  <c:v>157.64698014217453</c:v>
                </c:pt>
                <c:pt idx="78">
                  <c:v>160.13644546555042</c:v>
                </c:pt>
                <c:pt idx="79">
                  <c:v>162.17098482567224</c:v>
                </c:pt>
                <c:pt idx="80">
                  <c:v>163.78262701821549</c:v>
                </c:pt>
                <c:pt idx="81">
                  <c:v>164.99701672658071</c:v>
                </c:pt>
                <c:pt idx="82">
                  <c:v>165.83502162036973</c:v>
                </c:pt>
                <c:pt idx="83">
                  <c:v>166.31864872657954</c:v>
                </c:pt>
                <c:pt idx="84">
                  <c:v>166.48032434778335</c:v>
                </c:pt>
                <c:pt idx="85">
                  <c:v>166.31267973060827</c:v>
                </c:pt>
                <c:pt idx="86">
                  <c:v>165.82509150732642</c:v>
                </c:pt>
                <c:pt idx="87">
                  <c:v>165.04105976906854</c:v>
                </c:pt>
                <c:pt idx="88">
                  <c:v>163.97681466303905</c:v>
                </c:pt>
                <c:pt idx="89">
                  <c:v>162.61432689852865</c:v>
                </c:pt>
                <c:pt idx="90">
                  <c:v>160.98728502002385</c:v>
                </c:pt>
                <c:pt idx="91">
                  <c:v>159.08706266534435</c:v>
                </c:pt>
                <c:pt idx="92">
                  <c:v>156.93509619954887</c:v>
                </c:pt>
                <c:pt idx="93">
                  <c:v>154.68052645812875</c:v>
                </c:pt>
                <c:pt idx="94">
                  <c:v>152.3165931212593</c:v>
                </c:pt>
                <c:pt idx="95">
                  <c:v>149.92265370134064</c:v>
                </c:pt>
                <c:pt idx="96">
                  <c:v>147.43079423735068</c:v>
                </c:pt>
                <c:pt idx="97">
                  <c:v>144.92234892412864</c:v>
                </c:pt>
                <c:pt idx="98">
                  <c:v>142.34029988756819</c:v>
                </c:pt>
                <c:pt idx="99">
                  <c:v>139.73815477093171</c:v>
                </c:pt>
                <c:pt idx="100">
                  <c:v>137.09047397899513</c:v>
                </c:pt>
                <c:pt idx="101">
                  <c:v>134.41723004344519</c:v>
                </c:pt>
                <c:pt idx="102">
                  <c:v>131.72397391902777</c:v>
                </c:pt>
                <c:pt idx="103">
                  <c:v>128.99799072137776</c:v>
                </c:pt>
                <c:pt idx="104">
                  <c:v>126.27570888114886</c:v>
                </c:pt>
                <c:pt idx="105">
                  <c:v>123.51212292633846</c:v>
                </c:pt>
                <c:pt idx="106">
                  <c:v>120.77462488316426</c:v>
                </c:pt>
                <c:pt idx="107">
                  <c:v>118.00088564582447</c:v>
                </c:pt>
                <c:pt idx="108">
                  <c:v>115.24507190866933</c:v>
                </c:pt>
                <c:pt idx="109">
                  <c:v>112.47446135914024</c:v>
                </c:pt>
                <c:pt idx="110">
                  <c:v>109.70785439135966</c:v>
                </c:pt>
                <c:pt idx="111">
                  <c:v>106.94959990497539</c:v>
                </c:pt>
                <c:pt idx="112">
                  <c:v>104.18104089655679</c:v>
                </c:pt>
                <c:pt idx="113">
                  <c:v>101.44318845655418</c:v>
                </c:pt>
                <c:pt idx="114">
                  <c:v>98.690368676497627</c:v>
                </c:pt>
                <c:pt idx="115">
                  <c:v>95.970257203567314</c:v>
                </c:pt>
                <c:pt idx="116">
                  <c:v>93.249564279380337</c:v>
                </c:pt>
                <c:pt idx="117">
                  <c:v>90.54441029673761</c:v>
                </c:pt>
                <c:pt idx="118">
                  <c:v>87.861866975205231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DA1-294B-871A-199E87AA3CE7}"/>
            </c:ext>
          </c:extLst>
        </c:ser>
        <c:ser>
          <c:idx val="2"/>
          <c:order val="3"/>
          <c:tx>
            <c:v>Uniform flow volume over backwater length (m3)</c:v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0070C0"/>
              </a:solidFill>
              <a:ln w="9525">
                <a:solidFill>
                  <a:srgbClr val="0070C0"/>
                </a:solidFill>
              </a:ln>
              <a:effectLst/>
            </c:spPr>
          </c:marker>
          <c:xVal>
            <c:numRef>
              <c:f>Calculations!$W$18:$W$137</c:f>
              <c:numCache>
                <c:formatCode>General</c:formatCode>
                <c:ptCount val="120"/>
                <c:pt idx="0">
                  <c:v>0</c:v>
                </c:pt>
                <c:pt idx="1">
                  <c:v>6.6213657618227064E-4</c:v>
                </c:pt>
                <c:pt idx="2">
                  <c:v>1.8780363513894462E-3</c:v>
                </c:pt>
                <c:pt idx="3">
                  <c:v>3.4597835944614095E-3</c:v>
                </c:pt>
                <c:pt idx="4">
                  <c:v>5.3414816536715018E-3</c:v>
                </c:pt>
                <c:pt idx="5">
                  <c:v>7.4856260739270125E-3</c:v>
                </c:pt>
                <c:pt idx="6">
                  <c:v>9.8672936456959091E-3</c:v>
                </c:pt>
                <c:pt idx="7">
                  <c:v>1.2468465152634023E-2</c:v>
                </c:pt>
                <c:pt idx="8">
                  <c:v>1.5275393164504686E-2</c:v>
                </c:pt>
                <c:pt idx="9">
                  <c:v>1.8277188954841331E-2</c:v>
                </c:pt>
                <c:pt idx="10">
                  <c:v>2.1464986339185952E-2</c:v>
                </c:pt>
                <c:pt idx="11">
                  <c:v>2.4831411018605254E-2</c:v>
                </c:pt>
                <c:pt idx="12">
                  <c:v>2.8370225474583552E-2</c:v>
                </c:pt>
                <c:pt idx="13">
                  <c:v>3.2076081235579618E-2</c:v>
                </c:pt>
                <c:pt idx="14">
                  <c:v>3.5944340138617761E-2</c:v>
                </c:pt>
                <c:pt idx="15">
                  <c:v>3.997094174071375E-2</c:v>
                </c:pt>
                <c:pt idx="16">
                  <c:v>4.4152302644198775E-2</c:v>
                </c:pt>
                <c:pt idx="17">
                  <c:v>4.8485238520134102E-2</c:v>
                </c:pt>
                <c:pt idx="18">
                  <c:v>5.2966902668017103E-2</c:v>
                </c:pt>
                <c:pt idx="19">
                  <c:v>5.7594736876059885E-2</c:v>
                </c:pt>
                <c:pt idx="20">
                  <c:v>6.2366431599347703E-2</c:v>
                </c:pt>
                <c:pt idx="21">
                  <c:v>6.7279893310688357E-2</c:v>
                </c:pt>
                <c:pt idx="22">
                  <c:v>7.2333217452206999E-2</c:v>
                </c:pt>
                <c:pt idx="23">
                  <c:v>7.7524665816461807E-2</c:v>
                </c:pt>
                <c:pt idx="24">
                  <c:v>8.2852647471297877E-2</c:v>
                </c:pt>
                <c:pt idx="25">
                  <c:v>8.8315702549450883E-2</c:v>
                </c:pt>
                <c:pt idx="26">
                  <c:v>9.3912488376031306E-2</c:v>
                </c:pt>
                <c:pt idx="27">
                  <c:v>9.9641767520488561E-2</c:v>
                </c:pt>
                <c:pt idx="28">
                  <c:v>0.10550239744536481</c:v>
                </c:pt>
                <c:pt idx="29">
                  <c:v>0.1114933214896522</c:v>
                </c:pt>
                <c:pt idx="30">
                  <c:v>0.11761356097516047</c:v>
                </c:pt>
                <c:pt idx="31">
                  <c:v>0.12386220826376709</c:v>
                </c:pt>
                <c:pt idx="32">
                  <c:v>0.13023842062448929</c:v>
                </c:pt>
                <c:pt idx="33">
                  <c:v>0.13674141479397958</c:v>
                </c:pt>
                <c:pt idx="34">
                  <c:v>0.14337046213377877</c:v>
                </c:pt>
                <c:pt idx="35">
                  <c:v>0.15012488430356841</c:v>
                </c:pt>
                <c:pt idx="36">
                  <c:v>0.15700404938257156</c:v>
                </c:pt>
                <c:pt idx="37">
                  <c:v>0.16400736838179766</c:v>
                </c:pt>
                <c:pt idx="38">
                  <c:v>0.17113429209849124</c:v>
                </c:pt>
                <c:pt idx="39">
                  <c:v>0.17838430827130819</c:v>
                </c:pt>
                <c:pt idx="40">
                  <c:v>0.18575693900069393</c:v>
                </c:pt>
                <c:pt idx="41">
                  <c:v>0.19325173840390808</c:v>
                </c:pt>
                <c:pt idx="42">
                  <c:v>0.20086829047831323</c:v>
                </c:pt>
                <c:pt idx="43">
                  <c:v>0.20860620715005959</c:v>
                </c:pt>
                <c:pt idx="44">
                  <c:v>0.21646512648827665</c:v>
                </c:pt>
                <c:pt idx="45">
                  <c:v>0.22444471106741415</c:v>
                </c:pt>
                <c:pt idx="46">
                  <c:v>0.23254464646253259</c:v>
                </c:pt>
                <c:pt idx="47">
                  <c:v>0.24076463986419772</c:v>
                </c:pt>
                <c:pt idx="48">
                  <c:v>0.24910441880122192</c:v>
                </c:pt>
                <c:pt idx="49">
                  <c:v>0.25756372996086813</c:v>
                </c:pt>
                <c:pt idx="50">
                  <c:v>0.26614233809732102</c:v>
                </c:pt>
                <c:pt idx="51">
                  <c:v>0.27484002502025917</c:v>
                </c:pt>
                <c:pt idx="52">
                  <c:v>0.28365658865626153</c:v>
                </c:pt>
                <c:pt idx="53">
                  <c:v>0.29259184217656348</c:v>
                </c:pt>
                <c:pt idx="54">
                  <c:v>0.3016456131853657</c:v>
                </c:pt>
                <c:pt idx="55">
                  <c:v>0.31081774296349984</c:v>
                </c:pt>
                <c:pt idx="56">
                  <c:v>0.32010808576278543</c:v>
                </c:pt>
                <c:pt idx="57">
                  <c:v>0.32951650814688238</c:v>
                </c:pt>
                <c:pt idx="58">
                  <c:v>0.33904288837485203</c:v>
                </c:pt>
                <c:pt idx="59">
                  <c:v>0.34868711582401041</c:v>
                </c:pt>
                <c:pt idx="60">
                  <c:v>0.3584598353257944</c:v>
                </c:pt>
                <c:pt idx="61">
                  <c:v>0.36842622870113934</c:v>
                </c:pt>
                <c:pt idx="62">
                  <c:v>0.3785989931698156</c:v>
                </c:pt>
                <c:pt idx="63">
                  <c:v>0.38898014603578052</c:v>
                </c:pt>
                <c:pt idx="64">
                  <c:v>0.39957168057336778</c:v>
                </c:pt>
                <c:pt idx="65">
                  <c:v>0.41037556689935695</c:v>
                </c:pt>
                <c:pt idx="66">
                  <c:v>0.42139375279502145</c:v>
                </c:pt>
                <c:pt idx="67">
                  <c:v>0.43262816448192087</c:v>
                </c:pt>
                <c:pt idx="68">
                  <c:v>0.44408070735486532</c:v>
                </c:pt>
                <c:pt idx="69">
                  <c:v>0.45575326667516458</c:v>
                </c:pt>
                <c:pt idx="70">
                  <c:v>0.4676477082270058</c:v>
                </c:pt>
                <c:pt idx="71">
                  <c:v>0.47976587893955325</c:v>
                </c:pt>
                <c:pt idx="72">
                  <c:v>0.48811217390320039</c:v>
                </c:pt>
                <c:pt idx="73">
                  <c:v>0.49754584051652551</c:v>
                </c:pt>
                <c:pt idx="74">
                  <c:v>0.50994121114255075</c:v>
                </c:pt>
                <c:pt idx="75">
                  <c:v>0.52468577249397763</c:v>
                </c:pt>
                <c:pt idx="76">
                  <c:v>0.54147266030240049</c:v>
                </c:pt>
                <c:pt idx="77">
                  <c:v>0.56011185394843022</c:v>
                </c:pt>
                <c:pt idx="78">
                  <c:v>0.58047323019368824</c:v>
                </c:pt>
                <c:pt idx="79">
                  <c:v>0.60246225539905685</c:v>
                </c:pt>
                <c:pt idx="80">
                  <c:v>0.62600757313935573</c:v>
                </c:pt>
                <c:pt idx="81">
                  <c:v>0.65105390274341113</c:v>
                </c:pt>
                <c:pt idx="82">
                  <c:v>0.67755763967903682</c:v>
                </c:pt>
                <c:pt idx="83">
                  <c:v>0.70548396360447618</c:v>
                </c:pt>
                <c:pt idx="84">
                  <c:v>0.73480484820894898</c:v>
                </c:pt>
                <c:pt idx="85">
                  <c:v>0.76549764053401836</c:v>
                </c:pt>
                <c:pt idx="86">
                  <c:v>0.79754401599051172</c:v>
                </c:pt>
                <c:pt idx="87">
                  <c:v>0.83092919031456669</c:v>
                </c:pt>
                <c:pt idx="88">
                  <c:v>0.86564131263300426</c:v>
                </c:pt>
                <c:pt idx="89">
                  <c:v>0.9016709895122087</c:v>
                </c:pt>
                <c:pt idx="90">
                  <c:v>0.93901090586014924</c:v>
                </c:pt>
                <c:pt idx="91">
                  <c:v>0.97765551883930268</c:v>
                </c:pt>
                <c:pt idx="92">
                  <c:v>1.0176008077578889</c:v>
                </c:pt>
                <c:pt idx="93">
                  <c:v>1.058844067528758</c:v>
                </c:pt>
                <c:pt idx="94">
                  <c:v>1.1013837364928754</c:v>
                </c:pt>
                <c:pt idx="95">
                  <c:v>1.145219251674862</c:v>
                </c:pt>
                <c:pt idx="96">
                  <c:v>1.1903509261740757</c:v>
                </c:pt>
                <c:pt idx="97">
                  <c:v>1.2367798445925864</c:v>
                </c:pt>
                <c:pt idx="98">
                  <c:v>1.2845077732912835</c:v>
                </c:pt>
                <c:pt idx="99">
                  <c:v>1.3335370829352569</c:v>
                </c:pt>
                <c:pt idx="100">
                  <c:v>1.383870681300025</c:v>
                </c:pt>
                <c:pt idx="101">
                  <c:v>1.435511954703484</c:v>
                </c:pt>
                <c:pt idx="102">
                  <c:v>1.4884647167345668</c:v>
                </c:pt>
                <c:pt idx="103">
                  <c:v>1.5427331631901957</c:v>
                </c:pt>
                <c:pt idx="104">
                  <c:v>1.5983218323228165</c:v>
                </c:pt>
                <c:pt idx="105">
                  <c:v>1.6552355696532264</c:v>
                </c:pt>
                <c:pt idx="106">
                  <c:v>1.7134794967261828</c:v>
                </c:pt>
                <c:pt idx="107">
                  <c:v>1.7730589832858266</c:v>
                </c:pt>
                <c:pt idx="108">
                  <c:v>1.8339796224292833</c:v>
                </c:pt>
                <c:pt idx="109">
                  <c:v>1.8962472083635578</c:v>
                </c:pt>
                <c:pt idx="110">
                  <c:v>1.959867716446086</c:v>
                </c:pt>
                <c:pt idx="111">
                  <c:v>2.0248472852351385</c:v>
                </c:pt>
                <c:pt idx="112">
                  <c:v>2.0911922003146035</c:v>
                </c:pt>
                <c:pt idx="113">
                  <c:v>2.1589088796898452</c:v>
                </c:pt>
                <c:pt idx="114">
                  <c:v>2.2280038605784376</c:v>
                </c:pt>
                <c:pt idx="115">
                  <c:v>2.2984837874425614</c:v>
                </c:pt>
                <c:pt idx="116">
                  <c:v>2.3703554011293848</c:v>
                </c:pt>
                <c:pt idx="117">
                  <c:v>2.4436255290024196</c:v>
                </c:pt>
                <c:pt idx="118">
                  <c:v>2.5183010759611619</c:v>
                </c:pt>
                <c:pt idx="119">
                  <c:v>2.5943890162586092</c:v>
                </c:pt>
              </c:numCache>
            </c:numRef>
          </c:xVal>
          <c:yVal>
            <c:numRef>
              <c:f>Calculations!$R$18:$R$137</c:f>
              <c:numCache>
                <c:formatCode>General</c:formatCode>
                <c:ptCount val="120"/>
                <c:pt idx="0">
                  <c:v>0</c:v>
                </c:pt>
                <c:pt idx="1">
                  <c:v>3.884362903792081E-2</c:v>
                </c:pt>
                <c:pt idx="2">
                  <c:v>0.17042862748548365</c:v>
                </c:pt>
                <c:pt idx="3">
                  <c:v>0.38427951794522186</c:v>
                </c:pt>
                <c:pt idx="4">
                  <c:v>0.68550645026299517</c:v>
                </c:pt>
                <c:pt idx="5">
                  <c:v>1.0740483383605255</c:v>
                </c:pt>
                <c:pt idx="6">
                  <c:v>1.5509111151564594</c:v>
                </c:pt>
                <c:pt idx="7">
                  <c:v>2.116830047038206</c:v>
                </c:pt>
                <c:pt idx="8">
                  <c:v>2.7723066567652097</c:v>
                </c:pt>
                <c:pt idx="9">
                  <c:v>3.5183924806191489</c:v>
                </c:pt>
                <c:pt idx="10">
                  <c:v>4.3553437298385909</c:v>
                </c:pt>
                <c:pt idx="11">
                  <c:v>5.2843985891459644</c:v>
                </c:pt>
                <c:pt idx="12">
                  <c:v>6.3056598518763254</c:v>
                </c:pt>
                <c:pt idx="13">
                  <c:v>7.4204836429959542</c:v>
                </c:pt>
                <c:pt idx="14">
                  <c:v>8.628879641931654</c:v>
                </c:pt>
                <c:pt idx="15">
                  <c:v>9.9322662904977808</c:v>
                </c:pt>
                <c:pt idx="16">
                  <c:v>11.33061505473532</c:v>
                </c:pt>
                <c:pt idx="17">
                  <c:v>12.825351304633942</c:v>
                </c:pt>
                <c:pt idx="18">
                  <c:v>14.416465610078882</c:v>
                </c:pt>
                <c:pt idx="19">
                  <c:v>16.105330584013426</c:v>
                </c:pt>
                <c:pt idx="20">
                  <c:v>17.892018617519604</c:v>
                </c:pt>
                <c:pt idx="21">
                  <c:v>19.777783662118392</c:v>
                </c:pt>
                <c:pt idx="22">
                  <c:v>21.762849396495678</c:v>
                </c:pt>
                <c:pt idx="23">
                  <c:v>23.848278046924733</c:v>
                </c:pt>
                <c:pt idx="24">
                  <c:v>26.034521491946769</c:v>
                </c:pt>
                <c:pt idx="25">
                  <c:v>28.322369491794962</c:v>
                </c:pt>
                <c:pt idx="26">
                  <c:v>30.712586885535426</c:v>
                </c:pt>
                <c:pt idx="27">
                  <c:v>33.205602234185598</c:v>
                </c:pt>
                <c:pt idx="28">
                  <c:v>35.802586202564342</c:v>
                </c:pt>
                <c:pt idx="29">
                  <c:v>38.503509216980731</c:v>
                </c:pt>
                <c:pt idx="30">
                  <c:v>41.310048914682504</c:v>
                </c:pt>
                <c:pt idx="31">
                  <c:v>44.221612299033239</c:v>
                </c:pt>
                <c:pt idx="32">
                  <c:v>47.240493538471902</c:v>
                </c:pt>
                <c:pt idx="33">
                  <c:v>50.365422458078775</c:v>
                </c:pt>
                <c:pt idx="34">
                  <c:v>53.599427830004373</c:v>
                </c:pt>
                <c:pt idx="35">
                  <c:v>56.940591598305438</c:v>
                </c:pt>
                <c:pt idx="36">
                  <c:v>60.39234897545645</c:v>
                </c:pt>
                <c:pt idx="37">
                  <c:v>63.952709819331844</c:v>
                </c:pt>
                <c:pt idx="38">
                  <c:v>67.62474377786836</c:v>
                </c:pt>
                <c:pt idx="39">
                  <c:v>71.407075356680735</c:v>
                </c:pt>
                <c:pt idx="40">
                  <c:v>75.302088840130935</c:v>
                </c:pt>
                <c:pt idx="41">
                  <c:v>79.309162048611498</c:v>
                </c:pt>
                <c:pt idx="42">
                  <c:v>83.429850744283286</c:v>
                </c:pt>
                <c:pt idx="43">
                  <c:v>87.664433797087881</c:v>
                </c:pt>
                <c:pt idx="44">
                  <c:v>92.013486227201454</c:v>
                </c:pt>
                <c:pt idx="45">
                  <c:v>96.478344743727007</c:v>
                </c:pt>
                <c:pt idx="46">
                  <c:v>101.058442352757</c:v>
                </c:pt>
                <c:pt idx="47">
                  <c:v>105.75633944146199</c:v>
                </c:pt>
                <c:pt idx="48">
                  <c:v>110.57015668052257</c:v>
                </c:pt>
                <c:pt idx="49">
                  <c:v>115.50385302224713</c:v>
                </c:pt>
                <c:pt idx="50">
                  <c:v>120.55435913855824</c:v>
                </c:pt>
                <c:pt idx="51">
                  <c:v>125.72631136105025</c:v>
                </c:pt>
                <c:pt idx="52">
                  <c:v>131.0166543728819</c:v>
                </c:pt>
                <c:pt idx="53">
                  <c:v>136.42913123631931</c:v>
                </c:pt>
                <c:pt idx="54">
                  <c:v>141.96206475797334</c:v>
                </c:pt>
                <c:pt idx="55">
                  <c:v>147.61772048707348</c:v>
                </c:pt>
                <c:pt idx="56">
                  <c:v>153.39599604681325</c:v>
                </c:pt>
                <c:pt idx="57">
                  <c:v>159.29747816674407</c:v>
                </c:pt>
                <c:pt idx="58">
                  <c:v>165.32384527398509</c:v>
                </c:pt>
                <c:pt idx="59">
                  <c:v>171.47379469387207</c:v>
                </c:pt>
                <c:pt idx="60">
                  <c:v>177.75598707566417</c:v>
                </c:pt>
                <c:pt idx="61">
                  <c:v>184.19761790763266</c:v>
                </c:pt>
                <c:pt idx="62">
                  <c:v>190.811317755397</c:v>
                </c:pt>
                <c:pt idx="63">
                  <c:v>197.59437646643178</c:v>
                </c:pt>
                <c:pt idx="64">
                  <c:v>204.55311216687323</c:v>
                </c:pt>
                <c:pt idx="65">
                  <c:v>211.68747324609478</c:v>
                </c:pt>
                <c:pt idx="66">
                  <c:v>219.0005277032883</c:v>
                </c:pt>
                <c:pt idx="67">
                  <c:v>226.49579336116668</c:v>
                </c:pt>
                <c:pt idx="68">
                  <c:v>234.1720700625705</c:v>
                </c:pt>
                <c:pt idx="69">
                  <c:v>242.03756660209811</c:v>
                </c:pt>
                <c:pt idx="70">
                  <c:v>250.08851520509023</c:v>
                </c:pt>
                <c:pt idx="71">
                  <c:v>258.33035401461063</c:v>
                </c:pt>
                <c:pt idx="72">
                  <c:v>266.94996751273766</c:v>
                </c:pt>
                <c:pt idx="73">
                  <c:v>275.72814927816728</c:v>
                </c:pt>
                <c:pt idx="74">
                  <c:v>284.58588891807671</c:v>
                </c:pt>
                <c:pt idx="75">
                  <c:v>293.54101564153927</c:v>
                </c:pt>
                <c:pt idx="76">
                  <c:v>302.59192064180695</c:v>
                </c:pt>
                <c:pt idx="77">
                  <c:v>311.71956082392387</c:v>
                </c:pt>
                <c:pt idx="78">
                  <c:v>320.9030089885718</c:v>
                </c:pt>
                <c:pt idx="79">
                  <c:v>330.11773770640343</c:v>
                </c:pt>
                <c:pt idx="80">
                  <c:v>339.33691847853868</c:v>
                </c:pt>
                <c:pt idx="81">
                  <c:v>348.53217759569964</c:v>
                </c:pt>
                <c:pt idx="82">
                  <c:v>357.67405597815821</c:v>
                </c:pt>
                <c:pt idx="83">
                  <c:v>366.73385270286781</c:v>
                </c:pt>
                <c:pt idx="84">
                  <c:v>375.68770314266624</c:v>
                </c:pt>
                <c:pt idx="85">
                  <c:v>384.49928664951591</c:v>
                </c:pt>
                <c:pt idx="86">
                  <c:v>393.13722249755011</c:v>
                </c:pt>
                <c:pt idx="87">
                  <c:v>401.57719186686796</c:v>
                </c:pt>
                <c:pt idx="88">
                  <c:v>409.79414754859744</c:v>
                </c:pt>
                <c:pt idx="89">
                  <c:v>417.74603462850627</c:v>
                </c:pt>
                <c:pt idx="90">
                  <c:v>425.41843462376619</c:v>
                </c:pt>
                <c:pt idx="91">
                  <c:v>432.77509854908891</c:v>
                </c:pt>
                <c:pt idx="92">
                  <c:v>439.79901557672082</c:v>
                </c:pt>
                <c:pt idx="93">
                  <c:v>446.57089299142609</c:v>
                </c:pt>
                <c:pt idx="94">
                  <c:v>453.07203056486969</c:v>
                </c:pt>
                <c:pt idx="95">
                  <c:v>459.35523202361406</c:v>
                </c:pt>
                <c:pt idx="96">
                  <c:v>465.35494268435423</c:v>
                </c:pt>
                <c:pt idx="97">
                  <c:v>471.13458674560536</c:v>
                </c:pt>
                <c:pt idx="98">
                  <c:v>476.63326935107642</c:v>
                </c:pt>
                <c:pt idx="99">
                  <c:v>481.89594568861617</c:v>
                </c:pt>
                <c:pt idx="100">
                  <c:v>486.88935160226589</c:v>
                </c:pt>
                <c:pt idx="101">
                  <c:v>491.62798798826714</c:v>
                </c:pt>
                <c:pt idx="102">
                  <c:v>496.11233915489601</c:v>
                </c:pt>
                <c:pt idx="103">
                  <c:v>500.31960458185125</c:v>
                </c:pt>
                <c:pt idx="104">
                  <c:v>504.29104312735046</c:v>
                </c:pt>
                <c:pt idx="105">
                  <c:v>507.958956756173</c:v>
                </c:pt>
                <c:pt idx="106">
                  <c:v>511.41319392502015</c:v>
                </c:pt>
                <c:pt idx="107">
                  <c:v>514.55621734859574</c:v>
                </c:pt>
                <c:pt idx="108">
                  <c:v>517.46500798646366</c:v>
                </c:pt>
                <c:pt idx="109">
                  <c:v>520.0817064687642</c:v>
                </c:pt>
                <c:pt idx="110">
                  <c:v>522.43096260745722</c:v>
                </c:pt>
                <c:pt idx="111">
                  <c:v>524.51539867960389</c:v>
                </c:pt>
                <c:pt idx="112">
                  <c:v>526.29370850865484</c:v>
                </c:pt>
                <c:pt idx="113">
                  <c:v>527.83909785428182</c:v>
                </c:pt>
                <c:pt idx="114">
                  <c:v>529.05469993443137</c:v>
                </c:pt>
                <c:pt idx="115">
                  <c:v>530.03278770195402</c:v>
                </c:pt>
                <c:pt idx="116">
                  <c:v>530.69668126883766</c:v>
                </c:pt>
                <c:pt idx="117">
                  <c:v>531.07471079533559</c:v>
                </c:pt>
                <c:pt idx="118">
                  <c:v>531.17816144184656</c:v>
                </c:pt>
                <c:pt idx="119">
                  <c:v>530.94147186791781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9DA1-294B-871A-199E87AA3CE7}"/>
            </c:ext>
          </c:extLst>
        </c:ser>
        <c:ser>
          <c:idx val="3"/>
          <c:order val="4"/>
          <c:tx>
            <c:v>Total segment volume (m3)</c:v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7030A0"/>
              </a:solidFill>
              <a:ln w="9525">
                <a:solidFill>
                  <a:srgbClr val="7030A0"/>
                </a:solidFill>
              </a:ln>
              <a:effectLst/>
            </c:spPr>
          </c:marker>
          <c:xVal>
            <c:numRef>
              <c:f>Calculations!$W$18:$W$136</c:f>
              <c:numCache>
                <c:formatCode>General</c:formatCode>
                <c:ptCount val="119"/>
                <c:pt idx="0">
                  <c:v>0</c:v>
                </c:pt>
                <c:pt idx="1">
                  <c:v>6.6213657618227064E-4</c:v>
                </c:pt>
                <c:pt idx="2">
                  <c:v>1.8780363513894462E-3</c:v>
                </c:pt>
                <c:pt idx="3">
                  <c:v>3.4597835944614095E-3</c:v>
                </c:pt>
                <c:pt idx="4">
                  <c:v>5.3414816536715018E-3</c:v>
                </c:pt>
                <c:pt idx="5">
                  <c:v>7.4856260739270125E-3</c:v>
                </c:pt>
                <c:pt idx="6">
                  <c:v>9.8672936456959091E-3</c:v>
                </c:pt>
                <c:pt idx="7">
                  <c:v>1.2468465152634023E-2</c:v>
                </c:pt>
                <c:pt idx="8">
                  <c:v>1.5275393164504686E-2</c:v>
                </c:pt>
                <c:pt idx="9">
                  <c:v>1.8277188954841331E-2</c:v>
                </c:pt>
                <c:pt idx="10">
                  <c:v>2.1464986339185952E-2</c:v>
                </c:pt>
                <c:pt idx="11">
                  <c:v>2.4831411018605254E-2</c:v>
                </c:pt>
                <c:pt idx="12">
                  <c:v>2.8370225474583552E-2</c:v>
                </c:pt>
                <c:pt idx="13">
                  <c:v>3.2076081235579618E-2</c:v>
                </c:pt>
                <c:pt idx="14">
                  <c:v>3.5944340138617761E-2</c:v>
                </c:pt>
                <c:pt idx="15">
                  <c:v>3.997094174071375E-2</c:v>
                </c:pt>
                <c:pt idx="16">
                  <c:v>4.4152302644198775E-2</c:v>
                </c:pt>
                <c:pt idx="17">
                  <c:v>4.8485238520134102E-2</c:v>
                </c:pt>
                <c:pt idx="18">
                  <c:v>5.2966902668017103E-2</c:v>
                </c:pt>
                <c:pt idx="19">
                  <c:v>5.7594736876059885E-2</c:v>
                </c:pt>
                <c:pt idx="20">
                  <c:v>6.2366431599347703E-2</c:v>
                </c:pt>
                <c:pt idx="21">
                  <c:v>6.7279893310688357E-2</c:v>
                </c:pt>
                <c:pt idx="22">
                  <c:v>7.2333217452206999E-2</c:v>
                </c:pt>
                <c:pt idx="23">
                  <c:v>7.7524665816461807E-2</c:v>
                </c:pt>
                <c:pt idx="24">
                  <c:v>8.2852647471297877E-2</c:v>
                </c:pt>
                <c:pt idx="25">
                  <c:v>8.8315702549450883E-2</c:v>
                </c:pt>
                <c:pt idx="26">
                  <c:v>9.3912488376031306E-2</c:v>
                </c:pt>
                <c:pt idx="27">
                  <c:v>9.9641767520488561E-2</c:v>
                </c:pt>
                <c:pt idx="28">
                  <c:v>0.10550239744536481</c:v>
                </c:pt>
                <c:pt idx="29">
                  <c:v>0.1114933214896522</c:v>
                </c:pt>
                <c:pt idx="30">
                  <c:v>0.11761356097516047</c:v>
                </c:pt>
                <c:pt idx="31">
                  <c:v>0.12386220826376709</c:v>
                </c:pt>
                <c:pt idx="32">
                  <c:v>0.13023842062448929</c:v>
                </c:pt>
                <c:pt idx="33">
                  <c:v>0.13674141479397958</c:v>
                </c:pt>
                <c:pt idx="34">
                  <c:v>0.14337046213377877</c:v>
                </c:pt>
                <c:pt idx="35">
                  <c:v>0.15012488430356841</c:v>
                </c:pt>
                <c:pt idx="36">
                  <c:v>0.15700404938257156</c:v>
                </c:pt>
                <c:pt idx="37">
                  <c:v>0.16400736838179766</c:v>
                </c:pt>
                <c:pt idx="38">
                  <c:v>0.17113429209849124</c:v>
                </c:pt>
                <c:pt idx="39">
                  <c:v>0.17838430827130819</c:v>
                </c:pt>
                <c:pt idx="40">
                  <c:v>0.18575693900069393</c:v>
                </c:pt>
                <c:pt idx="41">
                  <c:v>0.19325173840390808</c:v>
                </c:pt>
                <c:pt idx="42">
                  <c:v>0.20086829047831323</c:v>
                </c:pt>
                <c:pt idx="43">
                  <c:v>0.20860620715005959</c:v>
                </c:pt>
                <c:pt idx="44">
                  <c:v>0.21646512648827665</c:v>
                </c:pt>
                <c:pt idx="45">
                  <c:v>0.22444471106741415</c:v>
                </c:pt>
                <c:pt idx="46">
                  <c:v>0.23254464646253259</c:v>
                </c:pt>
                <c:pt idx="47">
                  <c:v>0.24076463986419772</c:v>
                </c:pt>
                <c:pt idx="48">
                  <c:v>0.24910441880122192</c:v>
                </c:pt>
                <c:pt idx="49">
                  <c:v>0.25756372996086813</c:v>
                </c:pt>
                <c:pt idx="50">
                  <c:v>0.26614233809732102</c:v>
                </c:pt>
                <c:pt idx="51">
                  <c:v>0.27484002502025917</c:v>
                </c:pt>
                <c:pt idx="52">
                  <c:v>0.28365658865626153</c:v>
                </c:pt>
                <c:pt idx="53">
                  <c:v>0.29259184217656348</c:v>
                </c:pt>
                <c:pt idx="54">
                  <c:v>0.3016456131853657</c:v>
                </c:pt>
                <c:pt idx="55">
                  <c:v>0.31081774296349984</c:v>
                </c:pt>
                <c:pt idx="56">
                  <c:v>0.32010808576278543</c:v>
                </c:pt>
                <c:pt idx="57">
                  <c:v>0.32951650814688238</c:v>
                </c:pt>
                <c:pt idx="58">
                  <c:v>0.33904288837485203</c:v>
                </c:pt>
                <c:pt idx="59">
                  <c:v>0.34868711582401041</c:v>
                </c:pt>
                <c:pt idx="60">
                  <c:v>0.3584598353257944</c:v>
                </c:pt>
                <c:pt idx="61">
                  <c:v>0.36842622870113934</c:v>
                </c:pt>
                <c:pt idx="62">
                  <c:v>0.3785989931698156</c:v>
                </c:pt>
                <c:pt idx="63">
                  <c:v>0.38898014603578052</c:v>
                </c:pt>
                <c:pt idx="64">
                  <c:v>0.39957168057336778</c:v>
                </c:pt>
                <c:pt idx="65">
                  <c:v>0.41037556689935695</c:v>
                </c:pt>
                <c:pt idx="66">
                  <c:v>0.42139375279502145</c:v>
                </c:pt>
                <c:pt idx="67">
                  <c:v>0.43262816448192087</c:v>
                </c:pt>
                <c:pt idx="68">
                  <c:v>0.44408070735486532</c:v>
                </c:pt>
                <c:pt idx="69">
                  <c:v>0.45575326667516458</c:v>
                </c:pt>
                <c:pt idx="70">
                  <c:v>0.4676477082270058</c:v>
                </c:pt>
                <c:pt idx="71">
                  <c:v>0.47976587893955325</c:v>
                </c:pt>
                <c:pt idx="72">
                  <c:v>0.48811217390320039</c:v>
                </c:pt>
                <c:pt idx="73">
                  <c:v>0.49754584051652551</c:v>
                </c:pt>
                <c:pt idx="74">
                  <c:v>0.50994121114255075</c:v>
                </c:pt>
                <c:pt idx="75">
                  <c:v>0.52468577249397763</c:v>
                </c:pt>
                <c:pt idx="76">
                  <c:v>0.54147266030240049</c:v>
                </c:pt>
                <c:pt idx="77">
                  <c:v>0.56011185394843022</c:v>
                </c:pt>
                <c:pt idx="78">
                  <c:v>0.58047323019368824</c:v>
                </c:pt>
                <c:pt idx="79">
                  <c:v>0.60246225539905685</c:v>
                </c:pt>
                <c:pt idx="80">
                  <c:v>0.62600757313935573</c:v>
                </c:pt>
                <c:pt idx="81">
                  <c:v>0.65105390274341113</c:v>
                </c:pt>
                <c:pt idx="82">
                  <c:v>0.67755763967903682</c:v>
                </c:pt>
                <c:pt idx="83">
                  <c:v>0.70548396360447618</c:v>
                </c:pt>
                <c:pt idx="84">
                  <c:v>0.73480484820894898</c:v>
                </c:pt>
                <c:pt idx="85">
                  <c:v>0.76549764053401836</c:v>
                </c:pt>
                <c:pt idx="86">
                  <c:v>0.79754401599051172</c:v>
                </c:pt>
                <c:pt idx="87">
                  <c:v>0.83092919031456669</c:v>
                </c:pt>
                <c:pt idx="88">
                  <c:v>0.86564131263300426</c:v>
                </c:pt>
                <c:pt idx="89">
                  <c:v>0.9016709895122087</c:v>
                </c:pt>
                <c:pt idx="90">
                  <c:v>0.93901090586014924</c:v>
                </c:pt>
                <c:pt idx="91">
                  <c:v>0.97765551883930268</c:v>
                </c:pt>
                <c:pt idx="92">
                  <c:v>1.0176008077578889</c:v>
                </c:pt>
                <c:pt idx="93">
                  <c:v>1.058844067528758</c:v>
                </c:pt>
                <c:pt idx="94">
                  <c:v>1.1013837364928754</c:v>
                </c:pt>
                <c:pt idx="95">
                  <c:v>1.145219251674862</c:v>
                </c:pt>
                <c:pt idx="96">
                  <c:v>1.1903509261740757</c:v>
                </c:pt>
                <c:pt idx="97">
                  <c:v>1.2367798445925864</c:v>
                </c:pt>
                <c:pt idx="98">
                  <c:v>1.2845077732912835</c:v>
                </c:pt>
                <c:pt idx="99">
                  <c:v>1.3335370829352569</c:v>
                </c:pt>
                <c:pt idx="100">
                  <c:v>1.383870681300025</c:v>
                </c:pt>
                <c:pt idx="101">
                  <c:v>1.435511954703484</c:v>
                </c:pt>
                <c:pt idx="102">
                  <c:v>1.4884647167345668</c:v>
                </c:pt>
                <c:pt idx="103">
                  <c:v>1.5427331631901957</c:v>
                </c:pt>
                <c:pt idx="104">
                  <c:v>1.5983218323228165</c:v>
                </c:pt>
                <c:pt idx="105">
                  <c:v>1.6552355696532264</c:v>
                </c:pt>
                <c:pt idx="106">
                  <c:v>1.7134794967261828</c:v>
                </c:pt>
                <c:pt idx="107">
                  <c:v>1.7730589832858266</c:v>
                </c:pt>
                <c:pt idx="108">
                  <c:v>1.8339796224292833</c:v>
                </c:pt>
                <c:pt idx="109">
                  <c:v>1.8962472083635578</c:v>
                </c:pt>
                <c:pt idx="110">
                  <c:v>1.959867716446086</c:v>
                </c:pt>
                <c:pt idx="111">
                  <c:v>2.0248472852351385</c:v>
                </c:pt>
                <c:pt idx="112">
                  <c:v>2.0911922003146035</c:v>
                </c:pt>
                <c:pt idx="113">
                  <c:v>2.1589088796898452</c:v>
                </c:pt>
                <c:pt idx="114">
                  <c:v>2.2280038605784376</c:v>
                </c:pt>
                <c:pt idx="115">
                  <c:v>2.2984837874425614</c:v>
                </c:pt>
                <c:pt idx="116">
                  <c:v>2.3703554011293848</c:v>
                </c:pt>
                <c:pt idx="117">
                  <c:v>2.4436255290024196</c:v>
                </c:pt>
                <c:pt idx="118">
                  <c:v>2.5183010759611619</c:v>
                </c:pt>
              </c:numCache>
            </c:numRef>
          </c:xVal>
          <c:yVal>
            <c:numRef>
              <c:f>Calculations!$S$18:$S$136</c:f>
              <c:numCache>
                <c:formatCode>General</c:formatCode>
                <c:ptCount val="119"/>
                <c:pt idx="0">
                  <c:v>0</c:v>
                </c:pt>
                <c:pt idx="1">
                  <c:v>7.4411446306463125E-2</c:v>
                </c:pt>
                <c:pt idx="2">
                  <c:v>0.25569985691585795</c:v>
                </c:pt>
                <c:pt idx="3">
                  <c:v>0.58766403909143428</c:v>
                </c:pt>
                <c:pt idx="4">
                  <c:v>1.0285193261771524</c:v>
                </c:pt>
                <c:pt idx="5">
                  <c:v>1.6221622133654106</c:v>
                </c:pt>
                <c:pt idx="6">
                  <c:v>2.3269655842689292</c:v>
                </c:pt>
                <c:pt idx="7">
                  <c:v>3.1863395795201397</c:v>
                </c:pt>
                <c:pt idx="8">
                  <c:v>4.1595055168207553</c:v>
                </c:pt>
                <c:pt idx="9">
                  <c:v>5.288647677540248</c:v>
                </c:pt>
                <c:pt idx="10">
                  <c:v>6.5345722149566292</c:v>
                </c:pt>
                <c:pt idx="11">
                  <c:v>7.937497917349325</c:v>
                </c:pt>
                <c:pt idx="12">
                  <c:v>9.4605661500807159</c:v>
                </c:pt>
                <c:pt idx="13">
                  <c:v>11.141268347766182</c:v>
                </c:pt>
                <c:pt idx="14">
                  <c:v>12.945855973209875</c:v>
                </c:pt>
                <c:pt idx="15">
                  <c:v>14.908305282809286</c:v>
                </c:pt>
                <c:pt idx="16">
                  <c:v>16.998779231641386</c:v>
                </c:pt>
                <c:pt idx="17">
                  <c:v>19.246924207434663</c:v>
                </c:pt>
                <c:pt idx="18">
                  <c:v>21.627643050941987</c:v>
                </c:pt>
                <c:pt idx="19">
                  <c:v>24.165410512689974</c:v>
                </c:pt>
                <c:pt idx="20">
                  <c:v>26.840724794270955</c:v>
                </c:pt>
                <c:pt idx="21">
                  <c:v>29.672020170107359</c:v>
                </c:pt>
                <c:pt idx="22">
                  <c:v>32.646272703064554</c:v>
                </c:pt>
                <c:pt idx="23">
                  <c:v>35.774980374653119</c:v>
                </c:pt>
                <c:pt idx="24">
                  <c:v>39.0525065208314</c:v>
                </c:pt>
                <c:pt idx="25">
                  <c:v>42.482490165910981</c:v>
                </c:pt>
                <c:pt idx="26">
                  <c:v>46.067618101031258</c:v>
                </c:pt>
                <c:pt idx="27">
                  <c:v>49.802721031332645</c:v>
                </c:pt>
                <c:pt idx="28">
                  <c:v>53.699771999704581</c:v>
                </c:pt>
                <c:pt idx="29">
                  <c:v>57.743817493373363</c:v>
                </c:pt>
                <c:pt idx="30">
                  <c:v>61.957106053384365</c:v>
                </c:pt>
                <c:pt idx="31">
                  <c:v>66.313897681546862</c:v>
                </c:pt>
                <c:pt idx="32">
                  <c:v>70.847731942752276</c:v>
                </c:pt>
                <c:pt idx="33">
                  <c:v>75.52105389009823</c:v>
                </c:pt>
                <c:pt idx="34">
                  <c:v>80.379735742462458</c:v>
                </c:pt>
                <c:pt idx="35">
                  <c:v>85.376072434535971</c:v>
                </c:pt>
                <c:pt idx="36">
                  <c:v>90.561178457529238</c:v>
                </c:pt>
                <c:pt idx="37">
                  <c:v>95.888334014752218</c:v>
                </c:pt>
                <c:pt idx="38">
                  <c:v>101.40009654665775</c:v>
                </c:pt>
                <c:pt idx="39">
                  <c:v>107.06236493322574</c:v>
                </c:pt>
                <c:pt idx="40">
                  <c:v>112.90450243287901</c:v>
                </c:pt>
                <c:pt idx="41">
                  <c:v>118.90617115415253</c:v>
                </c:pt>
                <c:pt idx="42">
                  <c:v>125.08238500184078</c:v>
                </c:pt>
                <c:pt idx="43">
                  <c:v>131.42773547557175</c:v>
                </c:pt>
                <c:pt idx="44">
                  <c:v>137.94171008808954</c:v>
                </c:pt>
                <c:pt idx="45">
                  <c:v>144.63501797259048</c:v>
                </c:pt>
                <c:pt idx="46">
                  <c:v>151.49042094967362</c:v>
                </c:pt>
                <c:pt idx="47">
                  <c:v>158.53595643815112</c:v>
                </c:pt>
                <c:pt idx="48">
                  <c:v>165.73643873138184</c:v>
                </c:pt>
                <c:pt idx="49">
                  <c:v>173.13846681917852</c:v>
                </c:pt>
                <c:pt idx="50">
                  <c:v>180.69169103767848</c:v>
                </c:pt>
                <c:pt idx="51">
                  <c:v>188.45044364667348</c:v>
                </c:pt>
                <c:pt idx="52">
                  <c:v>196.36608377886563</c:v>
                </c:pt>
                <c:pt idx="53">
                  <c:v>204.47976045882194</c:v>
                </c:pt>
                <c:pt idx="54">
                  <c:v>212.76207357724928</c:v>
                </c:pt>
                <c:pt idx="55">
                  <c:v>221.23427021651639</c:v>
                </c:pt>
                <c:pt idx="56">
                  <c:v>229.8875085339038</c:v>
                </c:pt>
                <c:pt idx="57">
                  <c:v>238.72180571092434</c:v>
                </c:pt>
                <c:pt idx="58">
                  <c:v>247.75021682761098</c:v>
                </c:pt>
                <c:pt idx="59">
                  <c:v>256.95017996289164</c:v>
                </c:pt>
                <c:pt idx="60">
                  <c:v>266.36947769532571</c:v>
                </c:pt>
                <c:pt idx="61">
                  <c:v>276.03095179222481</c:v>
                </c:pt>
                <c:pt idx="62">
                  <c:v>286.00808644169575</c:v>
                </c:pt>
                <c:pt idx="63">
                  <c:v>296.24444923284341</c:v>
                </c:pt>
                <c:pt idx="64">
                  <c:v>306.78546530239043</c:v>
                </c:pt>
                <c:pt idx="65">
                  <c:v>317.60633926490704</c:v>
                </c:pt>
                <c:pt idx="66">
                  <c:v>328.71690570370265</c:v>
                </c:pt>
                <c:pt idx="67">
                  <c:v>340.13107344928147</c:v>
                </c:pt>
                <c:pt idx="68">
                  <c:v>351.81581840386332</c:v>
                </c:pt>
                <c:pt idx="69">
                  <c:v>363.83119565001914</c:v>
                </c:pt>
                <c:pt idx="70">
                  <c:v>376.12083187461008</c:v>
                </c:pt>
                <c:pt idx="71">
                  <c:v>388.71735323929693</c:v>
                </c:pt>
                <c:pt idx="72">
                  <c:v>403.30461944243302</c:v>
                </c:pt>
                <c:pt idx="73">
                  <c:v>417.87167923147081</c:v>
                </c:pt>
                <c:pt idx="74">
                  <c:v>431.58429418745646</c:v>
                </c:pt>
                <c:pt idx="75">
                  <c:v>444.66690600757545</c:v>
                </c:pt>
                <c:pt idx="76">
                  <c:v>457.25352422346975</c:v>
                </c:pt>
                <c:pt idx="77">
                  <c:v>469.3665409660984</c:v>
                </c:pt>
                <c:pt idx="78">
                  <c:v>481.03945445412222</c:v>
                </c:pt>
                <c:pt idx="79">
                  <c:v>492.28872253207567</c:v>
                </c:pt>
                <c:pt idx="80">
                  <c:v>503.1195454967542</c:v>
                </c:pt>
                <c:pt idx="81">
                  <c:v>513.52919432228032</c:v>
                </c:pt>
                <c:pt idx="82">
                  <c:v>523.50907759852794</c:v>
                </c:pt>
                <c:pt idx="83">
                  <c:v>533.05250142944737</c:v>
                </c:pt>
                <c:pt idx="84">
                  <c:v>542.16802749044962</c:v>
                </c:pt>
                <c:pt idx="85">
                  <c:v>550.8119663801242</c:v>
                </c:pt>
                <c:pt idx="86">
                  <c:v>558.96231400487659</c:v>
                </c:pt>
                <c:pt idx="87">
                  <c:v>566.61825163593653</c:v>
                </c:pt>
                <c:pt idx="88">
                  <c:v>573.77096221163652</c:v>
                </c:pt>
                <c:pt idx="89">
                  <c:v>580.36036152703491</c:v>
                </c:pt>
                <c:pt idx="90">
                  <c:v>586.40571964379001</c:v>
                </c:pt>
                <c:pt idx="91">
                  <c:v>591.86216121443329</c:v>
                </c:pt>
                <c:pt idx="92">
                  <c:v>596.73411177626963</c:v>
                </c:pt>
                <c:pt idx="93">
                  <c:v>601.25141944955487</c:v>
                </c:pt>
                <c:pt idx="94">
                  <c:v>605.38862368612899</c:v>
                </c:pt>
                <c:pt idx="95">
                  <c:v>609.27788572495467</c:v>
                </c:pt>
                <c:pt idx="96">
                  <c:v>612.78573692170494</c:v>
                </c:pt>
                <c:pt idx="97">
                  <c:v>616.056935669734</c:v>
                </c:pt>
                <c:pt idx="98">
                  <c:v>618.97356923864459</c:v>
                </c:pt>
                <c:pt idx="99">
                  <c:v>621.63410045954788</c:v>
                </c:pt>
                <c:pt idx="100">
                  <c:v>623.97982558126103</c:v>
                </c:pt>
                <c:pt idx="101">
                  <c:v>626.04521803171235</c:v>
                </c:pt>
                <c:pt idx="102">
                  <c:v>627.83631307392375</c:v>
                </c:pt>
                <c:pt idx="103">
                  <c:v>629.31759530322904</c:v>
                </c:pt>
                <c:pt idx="104">
                  <c:v>630.56675200849929</c:v>
                </c:pt>
                <c:pt idx="105">
                  <c:v>631.47107968251146</c:v>
                </c:pt>
                <c:pt idx="106">
                  <c:v>632.18781880818437</c:v>
                </c:pt>
                <c:pt idx="107">
                  <c:v>632.55710299442023</c:v>
                </c:pt>
                <c:pt idx="108">
                  <c:v>632.71007989513305</c:v>
                </c:pt>
                <c:pt idx="109">
                  <c:v>632.55616782790446</c:v>
                </c:pt>
                <c:pt idx="110">
                  <c:v>632.13881699881688</c:v>
                </c:pt>
                <c:pt idx="111">
                  <c:v>631.46499858457923</c:v>
                </c:pt>
                <c:pt idx="112">
                  <c:v>630.4747494052117</c:v>
                </c:pt>
                <c:pt idx="113">
                  <c:v>629.28228631083596</c:v>
                </c:pt>
                <c:pt idx="114">
                  <c:v>627.74506861092902</c:v>
                </c:pt>
                <c:pt idx="115">
                  <c:v>626.00304490552139</c:v>
                </c:pt>
                <c:pt idx="116">
                  <c:v>623.94624554821803</c:v>
                </c:pt>
                <c:pt idx="117">
                  <c:v>621.61912109207321</c:v>
                </c:pt>
                <c:pt idx="118">
                  <c:v>619.04002841705176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9DA1-294B-871A-199E87AA3C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50393263"/>
        <c:axId val="1837549471"/>
      </c:scatterChart>
      <c:valAx>
        <c:axId val="1850393263"/>
        <c:scaling>
          <c:orientation val="minMax"/>
          <c:max val="3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Q/Q_bf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37549471"/>
        <c:crosses val="autoZero"/>
        <c:crossBetween val="midCat"/>
      </c:valAx>
      <c:valAx>
        <c:axId val="18375494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Length</a:t>
                </a:r>
                <a:r>
                  <a:rPr lang="en-GB" baseline="0"/>
                  <a:t> or Volume</a:t>
                </a:r>
                <a:endParaRPr lang="en-GB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50393263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1"/>
          <c:order val="0"/>
          <c:tx>
            <c:v>slider location</c:v>
          </c:tx>
          <c:spPr>
            <a:ln w="1905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dPt>
            <c:idx val="1"/>
            <c:marker>
              <c:symbol val="none"/>
            </c:marker>
            <c:bubble3D val="0"/>
            <c:spPr>
              <a:ln w="31750" cap="rnd">
                <a:solidFill>
                  <a:schemeClr val="tx1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0-47FA-1047-BBB7-FE1F536C9AFA}"/>
              </c:ext>
            </c:extLst>
          </c:dPt>
          <c:xVal>
            <c:numRef>
              <c:f>Calculations!$AC$9:$AC$10</c:f>
              <c:numCache>
                <c:formatCode>General</c:formatCode>
                <c:ptCount val="2"/>
                <c:pt idx="0">
                  <c:v>1.33</c:v>
                </c:pt>
                <c:pt idx="1">
                  <c:v>1.33</c:v>
                </c:pt>
              </c:numCache>
            </c:numRef>
          </c:xVal>
          <c:yVal>
            <c:numRef>
              <c:f>Calculations!$AD$9:$AD$10</c:f>
              <c:numCache>
                <c:formatCode>General</c:formatCode>
                <c:ptCount val="2"/>
                <c:pt idx="0">
                  <c:v>0</c:v>
                </c:pt>
                <c:pt idx="1">
                  <c:v>165.89502198569926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B0A-3441-9DDF-C6674EC63C4A}"/>
            </c:ext>
          </c:extLst>
        </c:ser>
        <c:ser>
          <c:idx val="0"/>
          <c:order val="1"/>
          <c:tx>
            <c:v>T_R (s) backwater volume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00B050"/>
              </a:solidFill>
              <a:ln w="9525">
                <a:solidFill>
                  <a:srgbClr val="00B050"/>
                </a:solidFill>
              </a:ln>
              <a:effectLst/>
            </c:spPr>
          </c:marker>
          <c:xVal>
            <c:numRef>
              <c:f>Calculations!$W$18:$W$136</c:f>
              <c:numCache>
                <c:formatCode>General</c:formatCode>
                <c:ptCount val="119"/>
                <c:pt idx="0">
                  <c:v>0</c:v>
                </c:pt>
                <c:pt idx="1">
                  <c:v>6.6213657618227064E-4</c:v>
                </c:pt>
                <c:pt idx="2">
                  <c:v>1.8780363513894462E-3</c:v>
                </c:pt>
                <c:pt idx="3">
                  <c:v>3.4597835944614095E-3</c:v>
                </c:pt>
                <c:pt idx="4">
                  <c:v>5.3414816536715018E-3</c:v>
                </c:pt>
                <c:pt idx="5">
                  <c:v>7.4856260739270125E-3</c:v>
                </c:pt>
                <c:pt idx="6">
                  <c:v>9.8672936456959091E-3</c:v>
                </c:pt>
                <c:pt idx="7">
                  <c:v>1.2468465152634023E-2</c:v>
                </c:pt>
                <c:pt idx="8">
                  <c:v>1.5275393164504686E-2</c:v>
                </c:pt>
                <c:pt idx="9">
                  <c:v>1.8277188954841331E-2</c:v>
                </c:pt>
                <c:pt idx="10">
                  <c:v>2.1464986339185952E-2</c:v>
                </c:pt>
                <c:pt idx="11">
                  <c:v>2.4831411018605254E-2</c:v>
                </c:pt>
                <c:pt idx="12">
                  <c:v>2.8370225474583552E-2</c:v>
                </c:pt>
                <c:pt idx="13">
                  <c:v>3.2076081235579618E-2</c:v>
                </c:pt>
                <c:pt idx="14">
                  <c:v>3.5944340138617761E-2</c:v>
                </c:pt>
                <c:pt idx="15">
                  <c:v>3.997094174071375E-2</c:v>
                </c:pt>
                <c:pt idx="16">
                  <c:v>4.4152302644198775E-2</c:v>
                </c:pt>
                <c:pt idx="17">
                  <c:v>4.8485238520134102E-2</c:v>
                </c:pt>
                <c:pt idx="18">
                  <c:v>5.2966902668017103E-2</c:v>
                </c:pt>
                <c:pt idx="19">
                  <c:v>5.7594736876059885E-2</c:v>
                </c:pt>
                <c:pt idx="20">
                  <c:v>6.2366431599347703E-2</c:v>
                </c:pt>
                <c:pt idx="21">
                  <c:v>6.7279893310688357E-2</c:v>
                </c:pt>
                <c:pt idx="22">
                  <c:v>7.2333217452206999E-2</c:v>
                </c:pt>
                <c:pt idx="23">
                  <c:v>7.7524665816461807E-2</c:v>
                </c:pt>
                <c:pt idx="24">
                  <c:v>8.2852647471297877E-2</c:v>
                </c:pt>
                <c:pt idx="25">
                  <c:v>8.8315702549450883E-2</c:v>
                </c:pt>
                <c:pt idx="26">
                  <c:v>9.3912488376031306E-2</c:v>
                </c:pt>
                <c:pt idx="27">
                  <c:v>9.9641767520488561E-2</c:v>
                </c:pt>
                <c:pt idx="28">
                  <c:v>0.10550239744536481</c:v>
                </c:pt>
                <c:pt idx="29">
                  <c:v>0.1114933214896522</c:v>
                </c:pt>
                <c:pt idx="30">
                  <c:v>0.11761356097516047</c:v>
                </c:pt>
                <c:pt idx="31">
                  <c:v>0.12386220826376709</c:v>
                </c:pt>
                <c:pt idx="32">
                  <c:v>0.13023842062448929</c:v>
                </c:pt>
                <c:pt idx="33">
                  <c:v>0.13674141479397958</c:v>
                </c:pt>
                <c:pt idx="34">
                  <c:v>0.14337046213377877</c:v>
                </c:pt>
                <c:pt idx="35">
                  <c:v>0.15012488430356841</c:v>
                </c:pt>
                <c:pt idx="36">
                  <c:v>0.15700404938257156</c:v>
                </c:pt>
                <c:pt idx="37">
                  <c:v>0.16400736838179766</c:v>
                </c:pt>
                <c:pt idx="38">
                  <c:v>0.17113429209849124</c:v>
                </c:pt>
                <c:pt idx="39">
                  <c:v>0.17838430827130819</c:v>
                </c:pt>
                <c:pt idx="40">
                  <c:v>0.18575693900069393</c:v>
                </c:pt>
                <c:pt idx="41">
                  <c:v>0.19325173840390808</c:v>
                </c:pt>
                <c:pt idx="42">
                  <c:v>0.20086829047831323</c:v>
                </c:pt>
                <c:pt idx="43">
                  <c:v>0.20860620715005959</c:v>
                </c:pt>
                <c:pt idx="44">
                  <c:v>0.21646512648827665</c:v>
                </c:pt>
                <c:pt idx="45">
                  <c:v>0.22444471106741415</c:v>
                </c:pt>
                <c:pt idx="46">
                  <c:v>0.23254464646253259</c:v>
                </c:pt>
                <c:pt idx="47">
                  <c:v>0.24076463986419772</c:v>
                </c:pt>
                <c:pt idx="48">
                  <c:v>0.24910441880122192</c:v>
                </c:pt>
                <c:pt idx="49">
                  <c:v>0.25756372996086813</c:v>
                </c:pt>
                <c:pt idx="50">
                  <c:v>0.26614233809732102</c:v>
                </c:pt>
                <c:pt idx="51">
                  <c:v>0.27484002502025917</c:v>
                </c:pt>
                <c:pt idx="52">
                  <c:v>0.28365658865626153</c:v>
                </c:pt>
                <c:pt idx="53">
                  <c:v>0.29259184217656348</c:v>
                </c:pt>
                <c:pt idx="54">
                  <c:v>0.3016456131853657</c:v>
                </c:pt>
                <c:pt idx="55">
                  <c:v>0.31081774296349984</c:v>
                </c:pt>
                <c:pt idx="56">
                  <c:v>0.32010808576278543</c:v>
                </c:pt>
                <c:pt idx="57">
                  <c:v>0.32951650814688238</c:v>
                </c:pt>
                <c:pt idx="58">
                  <c:v>0.33904288837485203</c:v>
                </c:pt>
                <c:pt idx="59">
                  <c:v>0.34868711582401041</c:v>
                </c:pt>
                <c:pt idx="60">
                  <c:v>0.3584598353257944</c:v>
                </c:pt>
                <c:pt idx="61">
                  <c:v>0.36842622870113934</c:v>
                </c:pt>
                <c:pt idx="62">
                  <c:v>0.3785989931698156</c:v>
                </c:pt>
                <c:pt idx="63">
                  <c:v>0.38898014603578052</c:v>
                </c:pt>
                <c:pt idx="64">
                  <c:v>0.39957168057336778</c:v>
                </c:pt>
                <c:pt idx="65">
                  <c:v>0.41037556689935695</c:v>
                </c:pt>
                <c:pt idx="66">
                  <c:v>0.42139375279502145</c:v>
                </c:pt>
                <c:pt idx="67">
                  <c:v>0.43262816448192087</c:v>
                </c:pt>
                <c:pt idx="68">
                  <c:v>0.44408070735486532</c:v>
                </c:pt>
                <c:pt idx="69">
                  <c:v>0.45575326667516458</c:v>
                </c:pt>
                <c:pt idx="70">
                  <c:v>0.4676477082270058</c:v>
                </c:pt>
                <c:pt idx="71">
                  <c:v>0.47976587893955325</c:v>
                </c:pt>
                <c:pt idx="72">
                  <c:v>0.48811217390320039</c:v>
                </c:pt>
                <c:pt idx="73">
                  <c:v>0.49754584051652551</c:v>
                </c:pt>
                <c:pt idx="74">
                  <c:v>0.50994121114255075</c:v>
                </c:pt>
                <c:pt idx="75">
                  <c:v>0.52468577249397763</c:v>
                </c:pt>
                <c:pt idx="76">
                  <c:v>0.54147266030240049</c:v>
                </c:pt>
                <c:pt idx="77">
                  <c:v>0.56011185394843022</c:v>
                </c:pt>
                <c:pt idx="78">
                  <c:v>0.58047323019368824</c:v>
                </c:pt>
                <c:pt idx="79">
                  <c:v>0.60246225539905685</c:v>
                </c:pt>
                <c:pt idx="80">
                  <c:v>0.62600757313935573</c:v>
                </c:pt>
                <c:pt idx="81">
                  <c:v>0.65105390274341113</c:v>
                </c:pt>
                <c:pt idx="82">
                  <c:v>0.67755763967903682</c:v>
                </c:pt>
                <c:pt idx="83">
                  <c:v>0.70548396360447618</c:v>
                </c:pt>
                <c:pt idx="84">
                  <c:v>0.73480484820894898</c:v>
                </c:pt>
                <c:pt idx="85">
                  <c:v>0.76549764053401836</c:v>
                </c:pt>
                <c:pt idx="86">
                  <c:v>0.79754401599051172</c:v>
                </c:pt>
                <c:pt idx="87">
                  <c:v>0.83092919031456669</c:v>
                </c:pt>
                <c:pt idx="88">
                  <c:v>0.86564131263300426</c:v>
                </c:pt>
                <c:pt idx="89">
                  <c:v>0.9016709895122087</c:v>
                </c:pt>
                <c:pt idx="90">
                  <c:v>0.93901090586014924</c:v>
                </c:pt>
                <c:pt idx="91">
                  <c:v>0.97765551883930268</c:v>
                </c:pt>
                <c:pt idx="92">
                  <c:v>1.0176008077578889</c:v>
                </c:pt>
                <c:pt idx="93">
                  <c:v>1.058844067528758</c:v>
                </c:pt>
                <c:pt idx="94">
                  <c:v>1.1013837364928754</c:v>
                </c:pt>
                <c:pt idx="95">
                  <c:v>1.145219251674862</c:v>
                </c:pt>
                <c:pt idx="96">
                  <c:v>1.1903509261740757</c:v>
                </c:pt>
                <c:pt idx="97">
                  <c:v>1.2367798445925864</c:v>
                </c:pt>
                <c:pt idx="98">
                  <c:v>1.2845077732912835</c:v>
                </c:pt>
                <c:pt idx="99">
                  <c:v>1.3335370829352569</c:v>
                </c:pt>
                <c:pt idx="100">
                  <c:v>1.383870681300025</c:v>
                </c:pt>
                <c:pt idx="101">
                  <c:v>1.435511954703484</c:v>
                </c:pt>
                <c:pt idx="102">
                  <c:v>1.4884647167345668</c:v>
                </c:pt>
                <c:pt idx="103">
                  <c:v>1.5427331631901957</c:v>
                </c:pt>
                <c:pt idx="104">
                  <c:v>1.5983218323228165</c:v>
                </c:pt>
                <c:pt idx="105">
                  <c:v>1.6552355696532264</c:v>
                </c:pt>
                <c:pt idx="106">
                  <c:v>1.7134794967261828</c:v>
                </c:pt>
                <c:pt idx="107">
                  <c:v>1.7730589832858266</c:v>
                </c:pt>
                <c:pt idx="108">
                  <c:v>1.8339796224292833</c:v>
                </c:pt>
                <c:pt idx="109">
                  <c:v>1.8962472083635578</c:v>
                </c:pt>
                <c:pt idx="110">
                  <c:v>1.959867716446086</c:v>
                </c:pt>
                <c:pt idx="111">
                  <c:v>2.0248472852351385</c:v>
                </c:pt>
                <c:pt idx="112">
                  <c:v>2.0911922003146035</c:v>
                </c:pt>
                <c:pt idx="113">
                  <c:v>2.1589088796898452</c:v>
                </c:pt>
                <c:pt idx="114">
                  <c:v>2.2280038605784376</c:v>
                </c:pt>
                <c:pt idx="115">
                  <c:v>2.2984837874425614</c:v>
                </c:pt>
                <c:pt idx="116">
                  <c:v>2.3703554011293848</c:v>
                </c:pt>
                <c:pt idx="117">
                  <c:v>2.4436255290024196</c:v>
                </c:pt>
                <c:pt idx="118">
                  <c:v>2.5183010759611619</c:v>
                </c:pt>
              </c:numCache>
            </c:numRef>
          </c:xVal>
          <c:yVal>
            <c:numRef>
              <c:f>Calculations!$T$18:$T$136</c:f>
              <c:numCache>
                <c:formatCode>General</c:formatCode>
                <c:ptCount val="119"/>
                <c:pt idx="0">
                  <c:v>0</c:v>
                </c:pt>
                <c:pt idx="1">
                  <c:v>10.514956224412348</c:v>
                </c:pt>
                <c:pt idx="2">
                  <c:v>8.8878427884782809</c:v>
                </c:pt>
                <c:pt idx="3">
                  <c:v>11.507124075719675</c:v>
                </c:pt>
                <c:pt idx="4">
                  <c:v>12.570325261264038</c:v>
                </c:pt>
                <c:pt idx="5">
                  <c:v>14.3331121956101</c:v>
                </c:pt>
                <c:pt idx="6">
                  <c:v>15.395435732354736</c:v>
                </c:pt>
                <c:pt idx="7">
                  <c:v>16.790726886837689</c:v>
                </c:pt>
                <c:pt idx="8">
                  <c:v>17.776414149594263</c:v>
                </c:pt>
                <c:pt idx="9">
                  <c:v>18.959387804754208</c:v>
                </c:pt>
                <c:pt idx="10">
                  <c:v>19.873299803331886</c:v>
                </c:pt>
                <c:pt idx="11">
                  <c:v>20.914618385007817</c:v>
                </c:pt>
                <c:pt idx="12">
                  <c:v>21.76814949392881</c:v>
                </c:pt>
                <c:pt idx="13">
                  <c:v>22.706545661199574</c:v>
                </c:pt>
                <c:pt idx="14">
                  <c:v>23.509694512713196</c:v>
                </c:pt>
                <c:pt idx="15">
                  <c:v>24.36897306023981</c:v>
                </c:pt>
                <c:pt idx="16">
                  <c:v>25.129676431163276</c:v>
                </c:pt>
                <c:pt idx="17">
                  <c:v>25.925653634629779</c:v>
                </c:pt>
                <c:pt idx="18">
                  <c:v>26.650136524669634</c:v>
                </c:pt>
                <c:pt idx="19">
                  <c:v>27.393932649592049</c:v>
                </c:pt>
                <c:pt idx="20">
                  <c:v>28.087118489448994</c:v>
                </c:pt>
                <c:pt idx="21">
                  <c:v>28.786895210905929</c:v>
                </c:pt>
                <c:pt idx="22">
                  <c:v>29.452731041521318</c:v>
                </c:pt>
                <c:pt idx="23">
                  <c:v>30.114684035492282</c:v>
                </c:pt>
                <c:pt idx="24">
                  <c:v>30.756379500230366</c:v>
                </c:pt>
                <c:pt idx="25">
                  <c:v>31.385341609453253</c:v>
                </c:pt>
                <c:pt idx="26">
                  <c:v>32.005542223463777</c:v>
                </c:pt>
                <c:pt idx="27">
                  <c:v>32.605368539980283</c:v>
                </c:pt>
                <c:pt idx="28">
                  <c:v>33.20628198992641</c:v>
                </c:pt>
                <c:pt idx="29">
                  <c:v>33.780105855018839</c:v>
                </c:pt>
                <c:pt idx="30">
                  <c:v>34.363595166889993</c:v>
                </c:pt>
                <c:pt idx="31">
                  <c:v>34.914004200227339</c:v>
                </c:pt>
                <c:pt idx="32">
                  <c:v>35.481657432964191</c:v>
                </c:pt>
                <c:pt idx="33">
                  <c:v>36.010818083848648</c:v>
                </c:pt>
                <c:pt idx="34">
                  <c:v>36.564001207896908</c:v>
                </c:pt>
                <c:pt idx="35">
                  <c:v>37.077097105419206</c:v>
                </c:pt>
                <c:pt idx="36">
                  <c:v>37.613646641482994</c:v>
                </c:pt>
                <c:pt idx="37">
                  <c:v>38.11622505924386</c:v>
                </c:pt>
                <c:pt idx="38">
                  <c:v>38.63320020245029</c:v>
                </c:pt>
                <c:pt idx="39">
                  <c:v>39.12597318588378</c:v>
                </c:pt>
                <c:pt idx="40">
                  <c:v>39.624930151675734</c:v>
                </c:pt>
                <c:pt idx="41">
                  <c:v>40.108535784521102</c:v>
                </c:pt>
                <c:pt idx="42">
                  <c:v>40.590825195137484</c:v>
                </c:pt>
                <c:pt idx="43">
                  <c:v>41.065837685523491</c:v>
                </c:pt>
                <c:pt idx="44">
                  <c:v>41.532640681168317</c:v>
                </c:pt>
                <c:pt idx="45">
                  <c:v>41.99957879549644</c:v>
                </c:pt>
                <c:pt idx="46">
                  <c:v>42.451935428375485</c:v>
                </c:pt>
                <c:pt idx="47">
                  <c:v>42.911269580128923</c:v>
                </c:pt>
                <c:pt idx="48">
                  <c:v>43.350101405744013</c:v>
                </c:pt>
                <c:pt idx="49">
                  <c:v>43.802259644477488</c:v>
                </c:pt>
                <c:pt idx="50">
                  <c:v>44.231128674178791</c:v>
                </c:pt>
                <c:pt idx="51">
                  <c:v>44.673760986425712</c:v>
                </c:pt>
                <c:pt idx="52">
                  <c:v>45.096907145445108</c:v>
                </c:pt>
                <c:pt idx="53">
                  <c:v>45.526867090275175</c:v>
                </c:pt>
                <c:pt idx="54">
                  <c:v>45.94456369265221</c:v>
                </c:pt>
                <c:pt idx="55">
                  <c:v>46.362568736446029</c:v>
                </c:pt>
                <c:pt idx="56">
                  <c:v>46.775069098902598</c:v>
                </c:pt>
                <c:pt idx="57">
                  <c:v>47.181767193024825</c:v>
                </c:pt>
                <c:pt idx="58">
                  <c:v>47.589306587523822</c:v>
                </c:pt>
                <c:pt idx="59">
                  <c:v>47.985285300863808</c:v>
                </c:pt>
                <c:pt idx="60">
                  <c:v>48.390173262217587</c:v>
                </c:pt>
                <c:pt idx="61">
                  <c:v>48.791890326713286</c:v>
                </c:pt>
                <c:pt idx="62">
                  <c:v>49.219884031054384</c:v>
                </c:pt>
                <c:pt idx="63">
                  <c:v>49.644119064903109</c:v>
                </c:pt>
                <c:pt idx="64">
                  <c:v>50.083133219685109</c:v>
                </c:pt>
                <c:pt idx="65">
                  <c:v>50.523061644714986</c:v>
                </c:pt>
                <c:pt idx="66">
                  <c:v>50.966076627810963</c:v>
                </c:pt>
                <c:pt idx="67">
                  <c:v>51.415756649627809</c:v>
                </c:pt>
                <c:pt idx="68">
                  <c:v>51.856688639421073</c:v>
                </c:pt>
                <c:pt idx="69">
                  <c:v>52.310950901386036</c:v>
                </c:pt>
                <c:pt idx="70">
                  <c:v>52.754673875881238</c:v>
                </c:pt>
                <c:pt idx="71">
                  <c:v>53.198913968762717</c:v>
                </c:pt>
                <c:pt idx="72">
                  <c:v>54.682473769240765</c:v>
                </c:pt>
                <c:pt idx="73">
                  <c:v>55.923176279477538</c:v>
                </c:pt>
                <c:pt idx="74">
                  <c:v>56.42743976254858</c:v>
                </c:pt>
                <c:pt idx="75">
                  <c:v>56.381602872094163</c:v>
                </c:pt>
                <c:pt idx="76">
                  <c:v>55.911843135559273</c:v>
                </c:pt>
                <c:pt idx="77">
                  <c:v>55.094560830089726</c:v>
                </c:pt>
                <c:pt idx="78">
                  <c:v>54.001499807157742</c:v>
                </c:pt>
                <c:pt idx="79">
                  <c:v>52.69157065561253</c:v>
                </c:pt>
                <c:pt idx="80">
                  <c:v>51.213691291557083</c:v>
                </c:pt>
                <c:pt idx="81">
                  <c:v>49.608600902699052</c:v>
                </c:pt>
                <c:pt idx="82">
                  <c:v>47.910184015621581</c:v>
                </c:pt>
                <c:pt idx="83">
                  <c:v>46.147867316061848</c:v>
                </c:pt>
                <c:pt idx="84">
                  <c:v>44.349500607418101</c:v>
                </c:pt>
                <c:pt idx="85">
                  <c:v>42.528428830882838</c:v>
                </c:pt>
                <c:pt idx="86">
                  <c:v>40.699907146682662</c:v>
                </c:pt>
                <c:pt idx="87">
                  <c:v>38.879961074086488</c:v>
                </c:pt>
                <c:pt idx="88">
                  <c:v>37.080220196723602</c:v>
                </c:pt>
                <c:pt idx="89">
                  <c:v>35.302750439985417</c:v>
                </c:pt>
                <c:pt idx="90">
                  <c:v>33.559754380511443</c:v>
                </c:pt>
                <c:pt idx="91">
                  <c:v>31.852743228399184</c:v>
                </c:pt>
                <c:pt idx="92">
                  <c:v>30.188425909579188</c:v>
                </c:pt>
                <c:pt idx="93">
                  <c:v>28.595748413812487</c:v>
                </c:pt>
                <c:pt idx="94">
                  <c:v>27.071130452405505</c:v>
                </c:pt>
                <c:pt idx="95">
                  <c:v>25.625742295699023</c:v>
                </c:pt>
                <c:pt idx="96">
                  <c:v>24.244376773936086</c:v>
                </c:pt>
                <c:pt idx="97">
                  <c:v>22.937221003980017</c:v>
                </c:pt>
                <c:pt idx="98">
                  <c:v>21.6914694415482</c:v>
                </c:pt>
                <c:pt idx="99">
                  <c:v>20.511987385194136</c:v>
                </c:pt>
                <c:pt idx="100">
                  <c:v>19.391419566090196</c:v>
                </c:pt>
                <c:pt idx="101">
                  <c:v>18.329303468029348</c:v>
                </c:pt>
                <c:pt idx="102">
                  <c:v>17.323040212399306</c:v>
                </c:pt>
                <c:pt idx="103">
                  <c:v>16.367786971656923</c:v>
                </c:pt>
                <c:pt idx="104">
                  <c:v>15.46512437605193</c:v>
                </c:pt>
                <c:pt idx="105">
                  <c:v>14.606548654816551</c:v>
                </c:pt>
                <c:pt idx="106">
                  <c:v>13.797316247082183</c:v>
                </c:pt>
                <c:pt idx="107">
                  <c:v>13.027465066542854</c:v>
                </c:pt>
                <c:pt idx="108">
                  <c:v>12.300582864219354</c:v>
                </c:pt>
                <c:pt idx="109">
                  <c:v>11.610657155573049</c:v>
                </c:pt>
                <c:pt idx="110">
                  <c:v>10.957432297026072</c:v>
                </c:pt>
                <c:pt idx="111">
                  <c:v>10.339147325191304</c:v>
                </c:pt>
                <c:pt idx="112">
                  <c:v>9.7519749151054533</c:v>
                </c:pt>
                <c:pt idx="113">
                  <c:v>9.1978518918937446</c:v>
                </c:pt>
                <c:pt idx="114">
                  <c:v>8.6707500280363448</c:v>
                </c:pt>
                <c:pt idx="115">
                  <c:v>8.1732173380475945</c:v>
                </c:pt>
                <c:pt idx="116">
                  <c:v>7.7007172520075988</c:v>
                </c:pt>
                <c:pt idx="117">
                  <c:v>7.2531193625457586</c:v>
                </c:pt>
                <c:pt idx="118">
                  <c:v>6.8295267426651209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B0A-3441-9DDF-C6674EC63C4A}"/>
            </c:ext>
          </c:extLst>
        </c:ser>
        <c:ser>
          <c:idx val="2"/>
          <c:order val="2"/>
          <c:tx>
            <c:v>T_R (s) unobstructed flow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0070C0"/>
              </a:solidFill>
              <a:ln w="9525">
                <a:solidFill>
                  <a:srgbClr val="0070C0"/>
                </a:solidFill>
              </a:ln>
              <a:effectLst/>
            </c:spPr>
          </c:marker>
          <c:xVal>
            <c:numRef>
              <c:f>Calculations!$W$18:$W$136</c:f>
              <c:numCache>
                <c:formatCode>General</c:formatCode>
                <c:ptCount val="119"/>
                <c:pt idx="0">
                  <c:v>0</c:v>
                </c:pt>
                <c:pt idx="1">
                  <c:v>6.6213657618227064E-4</c:v>
                </c:pt>
                <c:pt idx="2">
                  <c:v>1.8780363513894462E-3</c:v>
                </c:pt>
                <c:pt idx="3">
                  <c:v>3.4597835944614095E-3</c:v>
                </c:pt>
                <c:pt idx="4">
                  <c:v>5.3414816536715018E-3</c:v>
                </c:pt>
                <c:pt idx="5">
                  <c:v>7.4856260739270125E-3</c:v>
                </c:pt>
                <c:pt idx="6">
                  <c:v>9.8672936456959091E-3</c:v>
                </c:pt>
                <c:pt idx="7">
                  <c:v>1.2468465152634023E-2</c:v>
                </c:pt>
                <c:pt idx="8">
                  <c:v>1.5275393164504686E-2</c:v>
                </c:pt>
                <c:pt idx="9">
                  <c:v>1.8277188954841331E-2</c:v>
                </c:pt>
                <c:pt idx="10">
                  <c:v>2.1464986339185952E-2</c:v>
                </c:pt>
                <c:pt idx="11">
                  <c:v>2.4831411018605254E-2</c:v>
                </c:pt>
                <c:pt idx="12">
                  <c:v>2.8370225474583552E-2</c:v>
                </c:pt>
                <c:pt idx="13">
                  <c:v>3.2076081235579618E-2</c:v>
                </c:pt>
                <c:pt idx="14">
                  <c:v>3.5944340138617761E-2</c:v>
                </c:pt>
                <c:pt idx="15">
                  <c:v>3.997094174071375E-2</c:v>
                </c:pt>
                <c:pt idx="16">
                  <c:v>4.4152302644198775E-2</c:v>
                </c:pt>
                <c:pt idx="17">
                  <c:v>4.8485238520134102E-2</c:v>
                </c:pt>
                <c:pt idx="18">
                  <c:v>5.2966902668017103E-2</c:v>
                </c:pt>
                <c:pt idx="19">
                  <c:v>5.7594736876059885E-2</c:v>
                </c:pt>
                <c:pt idx="20">
                  <c:v>6.2366431599347703E-2</c:v>
                </c:pt>
                <c:pt idx="21">
                  <c:v>6.7279893310688357E-2</c:v>
                </c:pt>
                <c:pt idx="22">
                  <c:v>7.2333217452206999E-2</c:v>
                </c:pt>
                <c:pt idx="23">
                  <c:v>7.7524665816461807E-2</c:v>
                </c:pt>
                <c:pt idx="24">
                  <c:v>8.2852647471297877E-2</c:v>
                </c:pt>
                <c:pt idx="25">
                  <c:v>8.8315702549450883E-2</c:v>
                </c:pt>
                <c:pt idx="26">
                  <c:v>9.3912488376031306E-2</c:v>
                </c:pt>
                <c:pt idx="27">
                  <c:v>9.9641767520488561E-2</c:v>
                </c:pt>
                <c:pt idx="28">
                  <c:v>0.10550239744536481</c:v>
                </c:pt>
                <c:pt idx="29">
                  <c:v>0.1114933214896522</c:v>
                </c:pt>
                <c:pt idx="30">
                  <c:v>0.11761356097516047</c:v>
                </c:pt>
                <c:pt idx="31">
                  <c:v>0.12386220826376709</c:v>
                </c:pt>
                <c:pt idx="32">
                  <c:v>0.13023842062448929</c:v>
                </c:pt>
                <c:pt idx="33">
                  <c:v>0.13674141479397958</c:v>
                </c:pt>
                <c:pt idx="34">
                  <c:v>0.14337046213377877</c:v>
                </c:pt>
                <c:pt idx="35">
                  <c:v>0.15012488430356841</c:v>
                </c:pt>
                <c:pt idx="36">
                  <c:v>0.15700404938257156</c:v>
                </c:pt>
                <c:pt idx="37">
                  <c:v>0.16400736838179766</c:v>
                </c:pt>
                <c:pt idx="38">
                  <c:v>0.17113429209849124</c:v>
                </c:pt>
                <c:pt idx="39">
                  <c:v>0.17838430827130819</c:v>
                </c:pt>
                <c:pt idx="40">
                  <c:v>0.18575693900069393</c:v>
                </c:pt>
                <c:pt idx="41">
                  <c:v>0.19325173840390808</c:v>
                </c:pt>
                <c:pt idx="42">
                  <c:v>0.20086829047831323</c:v>
                </c:pt>
                <c:pt idx="43">
                  <c:v>0.20860620715005959</c:v>
                </c:pt>
                <c:pt idx="44">
                  <c:v>0.21646512648827665</c:v>
                </c:pt>
                <c:pt idx="45">
                  <c:v>0.22444471106741415</c:v>
                </c:pt>
                <c:pt idx="46">
                  <c:v>0.23254464646253259</c:v>
                </c:pt>
                <c:pt idx="47">
                  <c:v>0.24076463986419772</c:v>
                </c:pt>
                <c:pt idx="48">
                  <c:v>0.24910441880122192</c:v>
                </c:pt>
                <c:pt idx="49">
                  <c:v>0.25756372996086813</c:v>
                </c:pt>
                <c:pt idx="50">
                  <c:v>0.26614233809732102</c:v>
                </c:pt>
                <c:pt idx="51">
                  <c:v>0.27484002502025917</c:v>
                </c:pt>
                <c:pt idx="52">
                  <c:v>0.28365658865626153</c:v>
                </c:pt>
                <c:pt idx="53">
                  <c:v>0.29259184217656348</c:v>
                </c:pt>
                <c:pt idx="54">
                  <c:v>0.3016456131853657</c:v>
                </c:pt>
                <c:pt idx="55">
                  <c:v>0.31081774296349984</c:v>
                </c:pt>
                <c:pt idx="56">
                  <c:v>0.32010808576278543</c:v>
                </c:pt>
                <c:pt idx="57">
                  <c:v>0.32951650814688238</c:v>
                </c:pt>
                <c:pt idx="58">
                  <c:v>0.33904288837485203</c:v>
                </c:pt>
                <c:pt idx="59">
                  <c:v>0.34868711582401041</c:v>
                </c:pt>
                <c:pt idx="60">
                  <c:v>0.3584598353257944</c:v>
                </c:pt>
                <c:pt idx="61">
                  <c:v>0.36842622870113934</c:v>
                </c:pt>
                <c:pt idx="62">
                  <c:v>0.3785989931698156</c:v>
                </c:pt>
                <c:pt idx="63">
                  <c:v>0.38898014603578052</c:v>
                </c:pt>
                <c:pt idx="64">
                  <c:v>0.39957168057336778</c:v>
                </c:pt>
                <c:pt idx="65">
                  <c:v>0.41037556689935695</c:v>
                </c:pt>
                <c:pt idx="66">
                  <c:v>0.42139375279502145</c:v>
                </c:pt>
                <c:pt idx="67">
                  <c:v>0.43262816448192087</c:v>
                </c:pt>
                <c:pt idx="68">
                  <c:v>0.44408070735486532</c:v>
                </c:pt>
                <c:pt idx="69">
                  <c:v>0.45575326667516458</c:v>
                </c:pt>
                <c:pt idx="70">
                  <c:v>0.4676477082270058</c:v>
                </c:pt>
                <c:pt idx="71">
                  <c:v>0.47976587893955325</c:v>
                </c:pt>
                <c:pt idx="72">
                  <c:v>0.48811217390320039</c:v>
                </c:pt>
                <c:pt idx="73">
                  <c:v>0.49754584051652551</c:v>
                </c:pt>
                <c:pt idx="74">
                  <c:v>0.50994121114255075</c:v>
                </c:pt>
                <c:pt idx="75">
                  <c:v>0.52468577249397763</c:v>
                </c:pt>
                <c:pt idx="76">
                  <c:v>0.54147266030240049</c:v>
                </c:pt>
                <c:pt idx="77">
                  <c:v>0.56011185394843022</c:v>
                </c:pt>
                <c:pt idx="78">
                  <c:v>0.58047323019368824</c:v>
                </c:pt>
                <c:pt idx="79">
                  <c:v>0.60246225539905685</c:v>
                </c:pt>
                <c:pt idx="80">
                  <c:v>0.62600757313935573</c:v>
                </c:pt>
                <c:pt idx="81">
                  <c:v>0.65105390274341113</c:v>
                </c:pt>
                <c:pt idx="82">
                  <c:v>0.67755763967903682</c:v>
                </c:pt>
                <c:pt idx="83">
                  <c:v>0.70548396360447618</c:v>
                </c:pt>
                <c:pt idx="84">
                  <c:v>0.73480484820894898</c:v>
                </c:pt>
                <c:pt idx="85">
                  <c:v>0.76549764053401836</c:v>
                </c:pt>
                <c:pt idx="86">
                  <c:v>0.79754401599051172</c:v>
                </c:pt>
                <c:pt idx="87">
                  <c:v>0.83092919031456669</c:v>
                </c:pt>
                <c:pt idx="88">
                  <c:v>0.86564131263300426</c:v>
                </c:pt>
                <c:pt idx="89">
                  <c:v>0.9016709895122087</c:v>
                </c:pt>
                <c:pt idx="90">
                  <c:v>0.93901090586014924</c:v>
                </c:pt>
                <c:pt idx="91">
                  <c:v>0.97765551883930268</c:v>
                </c:pt>
                <c:pt idx="92">
                  <c:v>1.0176008077578889</c:v>
                </c:pt>
                <c:pt idx="93">
                  <c:v>1.058844067528758</c:v>
                </c:pt>
                <c:pt idx="94">
                  <c:v>1.1013837364928754</c:v>
                </c:pt>
                <c:pt idx="95">
                  <c:v>1.145219251674862</c:v>
                </c:pt>
                <c:pt idx="96">
                  <c:v>1.1903509261740757</c:v>
                </c:pt>
                <c:pt idx="97">
                  <c:v>1.2367798445925864</c:v>
                </c:pt>
                <c:pt idx="98">
                  <c:v>1.2845077732912835</c:v>
                </c:pt>
                <c:pt idx="99">
                  <c:v>1.3335370829352569</c:v>
                </c:pt>
                <c:pt idx="100">
                  <c:v>1.383870681300025</c:v>
                </c:pt>
                <c:pt idx="101">
                  <c:v>1.435511954703484</c:v>
                </c:pt>
                <c:pt idx="102">
                  <c:v>1.4884647167345668</c:v>
                </c:pt>
                <c:pt idx="103">
                  <c:v>1.5427331631901957</c:v>
                </c:pt>
                <c:pt idx="104">
                  <c:v>1.5983218323228165</c:v>
                </c:pt>
                <c:pt idx="105">
                  <c:v>1.6552355696532264</c:v>
                </c:pt>
                <c:pt idx="106">
                  <c:v>1.7134794967261828</c:v>
                </c:pt>
                <c:pt idx="107">
                  <c:v>1.7730589832858266</c:v>
                </c:pt>
                <c:pt idx="108">
                  <c:v>1.8339796224292833</c:v>
                </c:pt>
                <c:pt idx="109">
                  <c:v>1.8962472083635578</c:v>
                </c:pt>
                <c:pt idx="110">
                  <c:v>1.959867716446086</c:v>
                </c:pt>
                <c:pt idx="111">
                  <c:v>2.0248472852351385</c:v>
                </c:pt>
                <c:pt idx="112">
                  <c:v>2.0911922003146035</c:v>
                </c:pt>
                <c:pt idx="113">
                  <c:v>2.1589088796898452</c:v>
                </c:pt>
                <c:pt idx="114">
                  <c:v>2.2280038605784376</c:v>
                </c:pt>
                <c:pt idx="115">
                  <c:v>2.2984837874425614</c:v>
                </c:pt>
                <c:pt idx="116">
                  <c:v>2.3703554011293848</c:v>
                </c:pt>
                <c:pt idx="117">
                  <c:v>2.4436255290024196</c:v>
                </c:pt>
                <c:pt idx="118">
                  <c:v>2.5183010759611619</c:v>
                </c:pt>
              </c:numCache>
            </c:numRef>
          </c:xVal>
          <c:yVal>
            <c:numRef>
              <c:f>Calculations!$U$18:$U$136</c:f>
              <c:numCache>
                <c:formatCode>General</c:formatCode>
                <c:ptCount val="119"/>
                <c:pt idx="0">
                  <c:v>0</c:v>
                </c:pt>
                <c:pt idx="1">
                  <c:v>11.483388363341891</c:v>
                </c:pt>
                <c:pt idx="2">
                  <c:v>17.763820902616697</c:v>
                </c:pt>
                <c:pt idx="3">
                  <c:v>21.741832012744414</c:v>
                </c:pt>
                <c:pt idx="4">
                  <c:v>25.121619780409869</c:v>
                </c:pt>
                <c:pt idx="5">
                  <c:v>28.086235432541841</c:v>
                </c:pt>
                <c:pt idx="6">
                  <c:v>30.767108946995211</c:v>
                </c:pt>
                <c:pt idx="7">
                  <c:v>33.233098075514995</c:v>
                </c:pt>
                <c:pt idx="8">
                  <c:v>35.52603213526438</c:v>
                </c:pt>
                <c:pt idx="9">
                  <c:v>37.681893325554647</c:v>
                </c:pt>
                <c:pt idx="10">
                  <c:v>39.718208659958741</c:v>
                </c:pt>
                <c:pt idx="11">
                  <c:v>41.657384897498297</c:v>
                </c:pt>
                <c:pt idx="12">
                  <c:v>43.507645977197988</c:v>
                </c:pt>
                <c:pt idx="13">
                  <c:v>45.28441284223063</c:v>
                </c:pt>
                <c:pt idx="14">
                  <c:v>46.991762011518219</c:v>
                </c:pt>
                <c:pt idx="15">
                  <c:v>48.6409230382326</c:v>
                </c:pt>
                <c:pt idx="16">
                  <c:v>50.234023081347445</c:v>
                </c:pt>
                <c:pt idx="17">
                  <c:v>51.779465981203288</c:v>
                </c:pt>
                <c:pt idx="18">
                  <c:v>53.27850824120366</c:v>
                </c:pt>
                <c:pt idx="19">
                  <c:v>54.737464792153894</c:v>
                </c:pt>
                <c:pt idx="20">
                  <c:v>56.157307771628709</c:v>
                </c:pt>
                <c:pt idx="21">
                  <c:v>57.542690163678898</c:v>
                </c:pt>
                <c:pt idx="22">
                  <c:v>58.894644811366497</c:v>
                </c:pt>
                <c:pt idx="23">
                  <c:v>60.21642348732064</c:v>
                </c:pt>
                <c:pt idx="24">
                  <c:v>61.509336609048468</c:v>
                </c:pt>
                <c:pt idx="25">
                  <c:v>62.775400164069161</c:v>
                </c:pt>
                <c:pt idx="26">
                  <c:v>64.016346340267788</c:v>
                </c:pt>
                <c:pt idx="27">
                  <c:v>65.233063140074705</c:v>
                </c:pt>
                <c:pt idx="28">
                  <c:v>66.427805292213463</c:v>
                </c:pt>
                <c:pt idx="29">
                  <c:v>67.600404237554244</c:v>
                </c:pt>
                <c:pt idx="30">
                  <c:v>68.753710889271318</c:v>
                </c:pt>
                <c:pt idx="31">
                  <c:v>69.886547761660452</c:v>
                </c:pt>
                <c:pt idx="32">
                  <c:v>71.002417986862099</c:v>
                </c:pt>
                <c:pt idx="33">
                  <c:v>72.099166771281446</c:v>
                </c:pt>
                <c:pt idx="34">
                  <c:v>73.180993673607787</c:v>
                </c:pt>
                <c:pt idx="35">
                  <c:v>74.244984851476559</c:v>
                </c:pt>
                <c:pt idx="36">
                  <c:v>75.295479248267952</c:v>
                </c:pt>
                <c:pt idx="37">
                  <c:v>76.329677031073302</c:v>
                </c:pt>
                <c:pt idx="38">
                  <c:v>77.351087430357438</c:v>
                </c:pt>
                <c:pt idx="39">
                  <c:v>78.357835509650599</c:v>
                </c:pt>
                <c:pt idx="40">
                  <c:v>79.352353359065404</c:v>
                </c:pt>
                <c:pt idx="41">
                  <c:v>80.333702871058165</c:v>
                </c:pt>
                <c:pt idx="42">
                  <c:v>81.3032519624701</c:v>
                </c:pt>
                <c:pt idx="43">
                  <c:v>82.261010276435997</c:v>
                </c:pt>
                <c:pt idx="44">
                  <c:v>83.207290420616161</c:v>
                </c:pt>
                <c:pt idx="45">
                  <c:v>84.143059942408385</c:v>
                </c:pt>
                <c:pt idx="46">
                  <c:v>85.06758189165599</c:v>
                </c:pt>
                <c:pt idx="47">
                  <c:v>85.982791270820996</c:v>
                </c:pt>
                <c:pt idx="48">
                  <c:v>86.886904941874718</c:v>
                </c:pt>
                <c:pt idx="49">
                  <c:v>87.782834423840711</c:v>
                </c:pt>
                <c:pt idx="50">
                  <c:v>88.667973834215587</c:v>
                </c:pt>
                <c:pt idx="51">
                  <c:v>89.545554139708301</c:v>
                </c:pt>
                <c:pt idx="52">
                  <c:v>90.413121437594697</c:v>
                </c:pt>
                <c:pt idx="53">
                  <c:v>91.273085877415156</c:v>
                </c:pt>
                <c:pt idx="54">
                  <c:v>92.124072228043929</c:v>
                </c:pt>
                <c:pt idx="55">
                  <c:v>92.967365870207203</c:v>
                </c:pt>
                <c:pt idx="56">
                  <c:v>93.802672757917051</c:v>
                </c:pt>
                <c:pt idx="57">
                  <c:v>94.630156297117992</c:v>
                </c:pt>
                <c:pt idx="58">
                  <c:v>95.450606531350232</c:v>
                </c:pt>
                <c:pt idx="59">
                  <c:v>96.263066507908022</c:v>
                </c:pt>
                <c:pt idx="60">
                  <c:v>97.069226737800676</c:v>
                </c:pt>
                <c:pt idx="61">
                  <c:v>97.865879318783541</c:v>
                </c:pt>
                <c:pt idx="62">
                  <c:v>98.655774364377308</c:v>
                </c:pt>
                <c:pt idx="63">
                  <c:v>99.436305283646334</c:v>
                </c:pt>
                <c:pt idx="64">
                  <c:v>100.20957605832061</c:v>
                </c:pt>
                <c:pt idx="65">
                  <c:v>100.97445018271668</c:v>
                </c:pt>
                <c:pt idx="66">
                  <c:v>101.73137210576414</c:v>
                </c:pt>
                <c:pt idx="67">
                  <c:v>102.48096000284455</c:v>
                </c:pt>
                <c:pt idx="68">
                  <c:v>103.2217036306476</c:v>
                </c:pt>
                <c:pt idx="69">
                  <c:v>103.95630183440559</c:v>
                </c:pt>
                <c:pt idx="70">
                  <c:v>104.68218317642518</c:v>
                </c:pt>
                <c:pt idx="71">
                  <c:v>105.40080192397998</c:v>
                </c:pt>
                <c:pt idx="72">
                  <c:v>107.05527379983656</c:v>
                </c:pt>
                <c:pt idx="73">
                  <c:v>108.47904158819355</c:v>
                </c:pt>
                <c:pt idx="74">
                  <c:v>109.24236269616962</c:v>
                </c:pt>
                <c:pt idx="75">
                  <c:v>109.51341911360508</c:v>
                </c:pt>
                <c:pt idx="76">
                  <c:v>109.39025336097201</c:v>
                </c:pt>
                <c:pt idx="77">
                  <c:v>108.93993840068514</c:v>
                </c:pt>
                <c:pt idx="78">
                  <c:v>108.21548915759266</c:v>
                </c:pt>
                <c:pt idx="79">
                  <c:v>107.25976733585405</c:v>
                </c:pt>
                <c:pt idx="80">
                  <c:v>106.10830039290637</c:v>
                </c:pt>
                <c:pt idx="81">
                  <c:v>104.79094739479778</c:v>
                </c:pt>
                <c:pt idx="82">
                  <c:v>103.3329972890505</c:v>
                </c:pt>
                <c:pt idx="83">
                  <c:v>101.75638934310003</c:v>
                </c:pt>
                <c:pt idx="84">
                  <c:v>100.08126836609586</c:v>
                </c:pt>
                <c:pt idx="85">
                  <c:v>98.321730936487938</c:v>
                </c:pt>
                <c:pt idx="86">
                  <c:v>96.491117876742294</c:v>
                </c:pt>
                <c:pt idx="87">
                  <c:v>94.602552903328984</c:v>
                </c:pt>
                <c:pt idx="88">
                  <c:v>92.667108198533015</c:v>
                </c:pt>
                <c:pt idx="89">
                  <c:v>90.690557769772369</c:v>
                </c:pt>
                <c:pt idx="90">
                  <c:v>88.683638419888069</c:v>
                </c:pt>
                <c:pt idx="91">
                  <c:v>86.651132145971999</c:v>
                </c:pt>
                <c:pt idx="92">
                  <c:v>84.600833837459135</c:v>
                </c:pt>
                <c:pt idx="93">
                  <c:v>82.557444025581219</c:v>
                </c:pt>
                <c:pt idx="94">
                  <c:v>80.52420154902974</c:v>
                </c:pt>
                <c:pt idx="95">
                  <c:v>78.515944771546586</c:v>
                </c:pt>
                <c:pt idx="96">
                  <c:v>76.52567173917204</c:v>
                </c:pt>
                <c:pt idx="97">
                  <c:v>74.5676441144374</c:v>
                </c:pt>
                <c:pt idx="98">
                  <c:v>72.634917905333637</c:v>
                </c:pt>
                <c:pt idx="99">
                  <c:v>70.736897700879709</c:v>
                </c:pt>
                <c:pt idx="100">
                  <c:v>68.870399416868025</c:v>
                </c:pt>
                <c:pt idx="101">
                  <c:v>67.039014137555981</c:v>
                </c:pt>
                <c:pt idx="102">
                  <c:v>65.243810563524931</c:v>
                </c:pt>
                <c:pt idx="103">
                  <c:v>63.482575656755962</c:v>
                </c:pt>
                <c:pt idx="104">
                  <c:v>61.761076400163532</c:v>
                </c:pt>
                <c:pt idx="105">
                  <c:v>60.071246779021344</c:v>
                </c:pt>
                <c:pt idx="106">
                  <c:v>58.423941091432702</c:v>
                </c:pt>
                <c:pt idx="107">
                  <c:v>56.807735887687933</c:v>
                </c:pt>
                <c:pt idx="108">
                  <c:v>55.231179126823982</c:v>
                </c:pt>
                <c:pt idx="109">
                  <c:v>53.687657746702172</c:v>
                </c:pt>
                <c:pt idx="110">
                  <c:v>52.179508335113518</c:v>
                </c:pt>
                <c:pt idx="111">
                  <c:v>50.706519576494394</c:v>
                </c:pt>
                <c:pt idx="112">
                  <c:v>49.264271111000689</c:v>
                </c:pt>
                <c:pt idx="113">
                  <c:v>47.859160567432028</c:v>
                </c:pt>
                <c:pt idx="114">
                  <c:v>46.481750101939397</c:v>
                </c:pt>
                <c:pt idx="115">
                  <c:v>45.139747421853144</c:v>
                </c:pt>
                <c:pt idx="116">
                  <c:v>43.825889382024613</c:v>
                </c:pt>
                <c:pt idx="117">
                  <c:v>42.542087967707786</c:v>
                </c:pt>
                <c:pt idx="118">
                  <c:v>41.288622511407866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2B0A-3441-9DDF-C6674EC63C4A}"/>
            </c:ext>
          </c:extLst>
        </c:ser>
        <c:ser>
          <c:idx val="3"/>
          <c:order val="3"/>
          <c:tx>
            <c:v>T_R (s) total segment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7030A0"/>
              </a:solidFill>
              <a:ln w="9525">
                <a:solidFill>
                  <a:srgbClr val="7030A0"/>
                </a:solidFill>
              </a:ln>
              <a:effectLst/>
            </c:spPr>
          </c:marker>
          <c:xVal>
            <c:numRef>
              <c:f>Calculations!$W$18:$W$136</c:f>
              <c:numCache>
                <c:formatCode>General</c:formatCode>
                <c:ptCount val="119"/>
                <c:pt idx="0">
                  <c:v>0</c:v>
                </c:pt>
                <c:pt idx="1">
                  <c:v>6.6213657618227064E-4</c:v>
                </c:pt>
                <c:pt idx="2">
                  <c:v>1.8780363513894462E-3</c:v>
                </c:pt>
                <c:pt idx="3">
                  <c:v>3.4597835944614095E-3</c:v>
                </c:pt>
                <c:pt idx="4">
                  <c:v>5.3414816536715018E-3</c:v>
                </c:pt>
                <c:pt idx="5">
                  <c:v>7.4856260739270125E-3</c:v>
                </c:pt>
                <c:pt idx="6">
                  <c:v>9.8672936456959091E-3</c:v>
                </c:pt>
                <c:pt idx="7">
                  <c:v>1.2468465152634023E-2</c:v>
                </c:pt>
                <c:pt idx="8">
                  <c:v>1.5275393164504686E-2</c:v>
                </c:pt>
                <c:pt idx="9">
                  <c:v>1.8277188954841331E-2</c:v>
                </c:pt>
                <c:pt idx="10">
                  <c:v>2.1464986339185952E-2</c:v>
                </c:pt>
                <c:pt idx="11">
                  <c:v>2.4831411018605254E-2</c:v>
                </c:pt>
                <c:pt idx="12">
                  <c:v>2.8370225474583552E-2</c:v>
                </c:pt>
                <c:pt idx="13">
                  <c:v>3.2076081235579618E-2</c:v>
                </c:pt>
                <c:pt idx="14">
                  <c:v>3.5944340138617761E-2</c:v>
                </c:pt>
                <c:pt idx="15">
                  <c:v>3.997094174071375E-2</c:v>
                </c:pt>
                <c:pt idx="16">
                  <c:v>4.4152302644198775E-2</c:v>
                </c:pt>
                <c:pt idx="17">
                  <c:v>4.8485238520134102E-2</c:v>
                </c:pt>
                <c:pt idx="18">
                  <c:v>5.2966902668017103E-2</c:v>
                </c:pt>
                <c:pt idx="19">
                  <c:v>5.7594736876059885E-2</c:v>
                </c:pt>
                <c:pt idx="20">
                  <c:v>6.2366431599347703E-2</c:v>
                </c:pt>
                <c:pt idx="21">
                  <c:v>6.7279893310688357E-2</c:v>
                </c:pt>
                <c:pt idx="22">
                  <c:v>7.2333217452206999E-2</c:v>
                </c:pt>
                <c:pt idx="23">
                  <c:v>7.7524665816461807E-2</c:v>
                </c:pt>
                <c:pt idx="24">
                  <c:v>8.2852647471297877E-2</c:v>
                </c:pt>
                <c:pt idx="25">
                  <c:v>8.8315702549450883E-2</c:v>
                </c:pt>
                <c:pt idx="26">
                  <c:v>9.3912488376031306E-2</c:v>
                </c:pt>
                <c:pt idx="27">
                  <c:v>9.9641767520488561E-2</c:v>
                </c:pt>
                <c:pt idx="28">
                  <c:v>0.10550239744536481</c:v>
                </c:pt>
                <c:pt idx="29">
                  <c:v>0.1114933214896522</c:v>
                </c:pt>
                <c:pt idx="30">
                  <c:v>0.11761356097516047</c:v>
                </c:pt>
                <c:pt idx="31">
                  <c:v>0.12386220826376709</c:v>
                </c:pt>
                <c:pt idx="32">
                  <c:v>0.13023842062448929</c:v>
                </c:pt>
                <c:pt idx="33">
                  <c:v>0.13674141479397958</c:v>
                </c:pt>
                <c:pt idx="34">
                  <c:v>0.14337046213377877</c:v>
                </c:pt>
                <c:pt idx="35">
                  <c:v>0.15012488430356841</c:v>
                </c:pt>
                <c:pt idx="36">
                  <c:v>0.15700404938257156</c:v>
                </c:pt>
                <c:pt idx="37">
                  <c:v>0.16400736838179766</c:v>
                </c:pt>
                <c:pt idx="38">
                  <c:v>0.17113429209849124</c:v>
                </c:pt>
                <c:pt idx="39">
                  <c:v>0.17838430827130819</c:v>
                </c:pt>
                <c:pt idx="40">
                  <c:v>0.18575693900069393</c:v>
                </c:pt>
                <c:pt idx="41">
                  <c:v>0.19325173840390808</c:v>
                </c:pt>
                <c:pt idx="42">
                  <c:v>0.20086829047831323</c:v>
                </c:pt>
                <c:pt idx="43">
                  <c:v>0.20860620715005959</c:v>
                </c:pt>
                <c:pt idx="44">
                  <c:v>0.21646512648827665</c:v>
                </c:pt>
                <c:pt idx="45">
                  <c:v>0.22444471106741415</c:v>
                </c:pt>
                <c:pt idx="46">
                  <c:v>0.23254464646253259</c:v>
                </c:pt>
                <c:pt idx="47">
                  <c:v>0.24076463986419772</c:v>
                </c:pt>
                <c:pt idx="48">
                  <c:v>0.24910441880122192</c:v>
                </c:pt>
                <c:pt idx="49">
                  <c:v>0.25756372996086813</c:v>
                </c:pt>
                <c:pt idx="50">
                  <c:v>0.26614233809732102</c:v>
                </c:pt>
                <c:pt idx="51">
                  <c:v>0.27484002502025917</c:v>
                </c:pt>
                <c:pt idx="52">
                  <c:v>0.28365658865626153</c:v>
                </c:pt>
                <c:pt idx="53">
                  <c:v>0.29259184217656348</c:v>
                </c:pt>
                <c:pt idx="54">
                  <c:v>0.3016456131853657</c:v>
                </c:pt>
                <c:pt idx="55">
                  <c:v>0.31081774296349984</c:v>
                </c:pt>
                <c:pt idx="56">
                  <c:v>0.32010808576278543</c:v>
                </c:pt>
                <c:pt idx="57">
                  <c:v>0.32951650814688238</c:v>
                </c:pt>
                <c:pt idx="58">
                  <c:v>0.33904288837485203</c:v>
                </c:pt>
                <c:pt idx="59">
                  <c:v>0.34868711582401041</c:v>
                </c:pt>
                <c:pt idx="60">
                  <c:v>0.3584598353257944</c:v>
                </c:pt>
                <c:pt idx="61">
                  <c:v>0.36842622870113934</c:v>
                </c:pt>
                <c:pt idx="62">
                  <c:v>0.3785989931698156</c:v>
                </c:pt>
                <c:pt idx="63">
                  <c:v>0.38898014603578052</c:v>
                </c:pt>
                <c:pt idx="64">
                  <c:v>0.39957168057336778</c:v>
                </c:pt>
                <c:pt idx="65">
                  <c:v>0.41037556689935695</c:v>
                </c:pt>
                <c:pt idx="66">
                  <c:v>0.42139375279502145</c:v>
                </c:pt>
                <c:pt idx="67">
                  <c:v>0.43262816448192087</c:v>
                </c:pt>
                <c:pt idx="68">
                  <c:v>0.44408070735486532</c:v>
                </c:pt>
                <c:pt idx="69">
                  <c:v>0.45575326667516458</c:v>
                </c:pt>
                <c:pt idx="70">
                  <c:v>0.4676477082270058</c:v>
                </c:pt>
                <c:pt idx="71">
                  <c:v>0.47976587893955325</c:v>
                </c:pt>
                <c:pt idx="72">
                  <c:v>0.48811217390320039</c:v>
                </c:pt>
                <c:pt idx="73">
                  <c:v>0.49754584051652551</c:v>
                </c:pt>
                <c:pt idx="74">
                  <c:v>0.50994121114255075</c:v>
                </c:pt>
                <c:pt idx="75">
                  <c:v>0.52468577249397763</c:v>
                </c:pt>
                <c:pt idx="76">
                  <c:v>0.54147266030240049</c:v>
                </c:pt>
                <c:pt idx="77">
                  <c:v>0.56011185394843022</c:v>
                </c:pt>
                <c:pt idx="78">
                  <c:v>0.58047323019368824</c:v>
                </c:pt>
                <c:pt idx="79">
                  <c:v>0.60246225539905685</c:v>
                </c:pt>
                <c:pt idx="80">
                  <c:v>0.62600757313935573</c:v>
                </c:pt>
                <c:pt idx="81">
                  <c:v>0.65105390274341113</c:v>
                </c:pt>
                <c:pt idx="82">
                  <c:v>0.67755763967903682</c:v>
                </c:pt>
                <c:pt idx="83">
                  <c:v>0.70548396360447618</c:v>
                </c:pt>
                <c:pt idx="84">
                  <c:v>0.73480484820894898</c:v>
                </c:pt>
                <c:pt idx="85">
                  <c:v>0.76549764053401836</c:v>
                </c:pt>
                <c:pt idx="86">
                  <c:v>0.79754401599051172</c:v>
                </c:pt>
                <c:pt idx="87">
                  <c:v>0.83092919031456669</c:v>
                </c:pt>
                <c:pt idx="88">
                  <c:v>0.86564131263300426</c:v>
                </c:pt>
                <c:pt idx="89">
                  <c:v>0.9016709895122087</c:v>
                </c:pt>
                <c:pt idx="90">
                  <c:v>0.93901090586014924</c:v>
                </c:pt>
                <c:pt idx="91">
                  <c:v>0.97765551883930268</c:v>
                </c:pt>
                <c:pt idx="92">
                  <c:v>1.0176008077578889</c:v>
                </c:pt>
                <c:pt idx="93">
                  <c:v>1.058844067528758</c:v>
                </c:pt>
                <c:pt idx="94">
                  <c:v>1.1013837364928754</c:v>
                </c:pt>
                <c:pt idx="95">
                  <c:v>1.145219251674862</c:v>
                </c:pt>
                <c:pt idx="96">
                  <c:v>1.1903509261740757</c:v>
                </c:pt>
                <c:pt idx="97">
                  <c:v>1.2367798445925864</c:v>
                </c:pt>
                <c:pt idx="98">
                  <c:v>1.2845077732912835</c:v>
                </c:pt>
                <c:pt idx="99">
                  <c:v>1.3335370829352569</c:v>
                </c:pt>
                <c:pt idx="100">
                  <c:v>1.383870681300025</c:v>
                </c:pt>
                <c:pt idx="101">
                  <c:v>1.435511954703484</c:v>
                </c:pt>
                <c:pt idx="102">
                  <c:v>1.4884647167345668</c:v>
                </c:pt>
                <c:pt idx="103">
                  <c:v>1.5427331631901957</c:v>
                </c:pt>
                <c:pt idx="104">
                  <c:v>1.5983218323228165</c:v>
                </c:pt>
                <c:pt idx="105">
                  <c:v>1.6552355696532264</c:v>
                </c:pt>
                <c:pt idx="106">
                  <c:v>1.7134794967261828</c:v>
                </c:pt>
                <c:pt idx="107">
                  <c:v>1.7730589832858266</c:v>
                </c:pt>
                <c:pt idx="108">
                  <c:v>1.8339796224292833</c:v>
                </c:pt>
                <c:pt idx="109">
                  <c:v>1.8962472083635578</c:v>
                </c:pt>
                <c:pt idx="110">
                  <c:v>1.959867716446086</c:v>
                </c:pt>
                <c:pt idx="111">
                  <c:v>2.0248472852351385</c:v>
                </c:pt>
                <c:pt idx="112">
                  <c:v>2.0911922003146035</c:v>
                </c:pt>
                <c:pt idx="113">
                  <c:v>2.1589088796898452</c:v>
                </c:pt>
                <c:pt idx="114">
                  <c:v>2.2280038605784376</c:v>
                </c:pt>
                <c:pt idx="115">
                  <c:v>2.2984837874425614</c:v>
                </c:pt>
                <c:pt idx="116">
                  <c:v>2.3703554011293848</c:v>
                </c:pt>
                <c:pt idx="117">
                  <c:v>2.4436255290024196</c:v>
                </c:pt>
                <c:pt idx="118">
                  <c:v>2.5183010759611619</c:v>
                </c:pt>
              </c:numCache>
            </c:numRef>
          </c:xVal>
          <c:yVal>
            <c:numRef>
              <c:f>Calculations!$V$18:$V$136</c:f>
              <c:numCache>
                <c:formatCode>General</c:formatCode>
                <c:ptCount val="119"/>
                <c:pt idx="0">
                  <c:v>0</c:v>
                </c:pt>
                <c:pt idx="1">
                  <c:v>21.998344587754239</c:v>
                </c:pt>
                <c:pt idx="2">
                  <c:v>26.651663691094974</c:v>
                </c:pt>
                <c:pt idx="3">
                  <c:v>33.248956088464091</c:v>
                </c:pt>
                <c:pt idx="4">
                  <c:v>37.691945041673904</c:v>
                </c:pt>
                <c:pt idx="5">
                  <c:v>42.419347628151939</c:v>
                </c:pt>
                <c:pt idx="6">
                  <c:v>46.162544679349949</c:v>
                </c:pt>
                <c:pt idx="7">
                  <c:v>50.023824962352684</c:v>
                </c:pt>
                <c:pt idx="8">
                  <c:v>53.30244628485864</c:v>
                </c:pt>
                <c:pt idx="9">
                  <c:v>56.641281130308855</c:v>
                </c:pt>
                <c:pt idx="10">
                  <c:v>59.591508463290623</c:v>
                </c:pt>
                <c:pt idx="11">
                  <c:v>62.572003282506117</c:v>
                </c:pt>
                <c:pt idx="12">
                  <c:v>65.275795471126798</c:v>
                </c:pt>
                <c:pt idx="13">
                  <c:v>67.990958503430207</c:v>
                </c:pt>
                <c:pt idx="14">
                  <c:v>70.501456524231415</c:v>
                </c:pt>
                <c:pt idx="15">
                  <c:v>73.00989609847241</c:v>
                </c:pt>
                <c:pt idx="16">
                  <c:v>75.363699512510735</c:v>
                </c:pt>
                <c:pt idx="17">
                  <c:v>77.70511961583307</c:v>
                </c:pt>
                <c:pt idx="18">
                  <c:v>79.928644765873287</c:v>
                </c:pt>
                <c:pt idx="19">
                  <c:v>82.131397441745946</c:v>
                </c:pt>
                <c:pt idx="20">
                  <c:v>84.244426261077692</c:v>
                </c:pt>
                <c:pt idx="21">
                  <c:v>86.329585374584823</c:v>
                </c:pt>
                <c:pt idx="22">
                  <c:v>88.347375852887822</c:v>
                </c:pt>
                <c:pt idx="23">
                  <c:v>90.331107522812928</c:v>
                </c:pt>
                <c:pt idx="24">
                  <c:v>92.265716109278827</c:v>
                </c:pt>
                <c:pt idx="25">
                  <c:v>94.160741773522417</c:v>
                </c:pt>
                <c:pt idx="26">
                  <c:v>96.021888563731565</c:v>
                </c:pt>
                <c:pt idx="27">
                  <c:v>97.838431680054995</c:v>
                </c:pt>
                <c:pt idx="28">
                  <c:v>99.634087282139859</c:v>
                </c:pt>
                <c:pt idx="29">
                  <c:v>101.38051009257309</c:v>
                </c:pt>
                <c:pt idx="30">
                  <c:v>103.11730605616133</c:v>
                </c:pt>
                <c:pt idx="31">
                  <c:v>104.80055196188778</c:v>
                </c:pt>
                <c:pt idx="32">
                  <c:v>106.48407541982628</c:v>
                </c:pt>
                <c:pt idx="33">
                  <c:v>108.10998485513009</c:v>
                </c:pt>
                <c:pt idx="34">
                  <c:v>109.7449948815047</c:v>
                </c:pt>
                <c:pt idx="35">
                  <c:v>111.32208195689576</c:v>
                </c:pt>
                <c:pt idx="36">
                  <c:v>112.90912588975094</c:v>
                </c:pt>
                <c:pt idx="37">
                  <c:v>114.44590209031716</c:v>
                </c:pt>
                <c:pt idx="38">
                  <c:v>115.98428763280774</c:v>
                </c:pt>
                <c:pt idx="39">
                  <c:v>117.48380869553438</c:v>
                </c:pt>
                <c:pt idx="40">
                  <c:v>118.97728351074115</c:v>
                </c:pt>
                <c:pt idx="41">
                  <c:v>120.44223865557927</c:v>
                </c:pt>
                <c:pt idx="42">
                  <c:v>121.8940771576076</c:v>
                </c:pt>
                <c:pt idx="43">
                  <c:v>123.32684796195949</c:v>
                </c:pt>
                <c:pt idx="44">
                  <c:v>124.73993110178448</c:v>
                </c:pt>
                <c:pt idx="45">
                  <c:v>126.14263873790482</c:v>
                </c:pt>
                <c:pt idx="46">
                  <c:v>127.51951732003148</c:v>
                </c:pt>
                <c:pt idx="47">
                  <c:v>128.89406085094993</c:v>
                </c:pt>
                <c:pt idx="48">
                  <c:v>130.23700634761875</c:v>
                </c:pt>
                <c:pt idx="49">
                  <c:v>131.5850940683182</c:v>
                </c:pt>
                <c:pt idx="50">
                  <c:v>132.89910250839438</c:v>
                </c:pt>
                <c:pt idx="51">
                  <c:v>134.21931512613403</c:v>
                </c:pt>
                <c:pt idx="52">
                  <c:v>135.5100285830398</c:v>
                </c:pt>
                <c:pt idx="53">
                  <c:v>136.79995296769033</c:v>
                </c:pt>
                <c:pt idx="54">
                  <c:v>138.06863592069615</c:v>
                </c:pt>
                <c:pt idx="55">
                  <c:v>139.32993460665324</c:v>
                </c:pt>
                <c:pt idx="56">
                  <c:v>140.57774185681964</c:v>
                </c:pt>
                <c:pt idx="57">
                  <c:v>141.81192349014282</c:v>
                </c:pt>
                <c:pt idx="58">
                  <c:v>143.03991311887404</c:v>
                </c:pt>
                <c:pt idx="59">
                  <c:v>144.24835180877184</c:v>
                </c:pt>
                <c:pt idx="60">
                  <c:v>145.45940000001826</c:v>
                </c:pt>
                <c:pt idx="61">
                  <c:v>146.65776964549684</c:v>
                </c:pt>
                <c:pt idx="62">
                  <c:v>147.87565839543169</c:v>
                </c:pt>
                <c:pt idx="63">
                  <c:v>149.08042434854946</c:v>
                </c:pt>
                <c:pt idx="64">
                  <c:v>150.29270927800573</c:v>
                </c:pt>
                <c:pt idx="65">
                  <c:v>151.49751182743165</c:v>
                </c:pt>
                <c:pt idx="66">
                  <c:v>152.6974487335751</c:v>
                </c:pt>
                <c:pt idx="67">
                  <c:v>153.89671665247235</c:v>
                </c:pt>
                <c:pt idx="68">
                  <c:v>155.07839227006869</c:v>
                </c:pt>
                <c:pt idx="69">
                  <c:v>156.26725273579163</c:v>
                </c:pt>
                <c:pt idx="70">
                  <c:v>157.43685705230641</c:v>
                </c:pt>
                <c:pt idx="71">
                  <c:v>158.59971589274269</c:v>
                </c:pt>
                <c:pt idx="72">
                  <c:v>161.7377475690773</c:v>
                </c:pt>
                <c:pt idx="73">
                  <c:v>164.40221786767111</c:v>
                </c:pt>
                <c:pt idx="74">
                  <c:v>165.66980245871821</c:v>
                </c:pt>
                <c:pt idx="75">
                  <c:v>165.89502198569926</c:v>
                </c:pt>
                <c:pt idx="76">
                  <c:v>165.30209649653128</c:v>
                </c:pt>
                <c:pt idx="77">
                  <c:v>164.03449923077486</c:v>
                </c:pt>
                <c:pt idx="78">
                  <c:v>162.21698896475039</c:v>
                </c:pt>
                <c:pt idx="79">
                  <c:v>159.95133799146657</c:v>
                </c:pt>
                <c:pt idx="80">
                  <c:v>157.32199168446346</c:v>
                </c:pt>
                <c:pt idx="81">
                  <c:v>154.39954829749684</c:v>
                </c:pt>
                <c:pt idx="82">
                  <c:v>151.24318130467208</c:v>
                </c:pt>
                <c:pt idx="83">
                  <c:v>147.90425665916189</c:v>
                </c:pt>
                <c:pt idx="84">
                  <c:v>144.43076897351398</c:v>
                </c:pt>
                <c:pt idx="85">
                  <c:v>140.85015976737077</c:v>
                </c:pt>
                <c:pt idx="86">
                  <c:v>137.19102502342497</c:v>
                </c:pt>
                <c:pt idx="87">
                  <c:v>133.48251397741546</c:v>
                </c:pt>
                <c:pt idx="88">
                  <c:v>129.7473283952566</c:v>
                </c:pt>
                <c:pt idx="89">
                  <c:v>125.99330820975779</c:v>
                </c:pt>
                <c:pt idx="90">
                  <c:v>122.2433928003995</c:v>
                </c:pt>
                <c:pt idx="91">
                  <c:v>118.50387537437119</c:v>
                </c:pt>
                <c:pt idx="92">
                  <c:v>114.78925974703832</c:v>
                </c:pt>
                <c:pt idx="93">
                  <c:v>111.15319243939371</c:v>
                </c:pt>
                <c:pt idx="94">
                  <c:v>107.59533200143525</c:v>
                </c:pt>
                <c:pt idx="95">
                  <c:v>104.14168706724561</c:v>
                </c:pt>
                <c:pt idx="96">
                  <c:v>100.77004851310814</c:v>
                </c:pt>
                <c:pt idx="97">
                  <c:v>97.504865118417413</c:v>
                </c:pt>
                <c:pt idx="98">
                  <c:v>94.32638734688183</c:v>
                </c:pt>
                <c:pt idx="99">
                  <c:v>91.248885086073841</c:v>
                </c:pt>
                <c:pt idx="100">
                  <c:v>88.261818982958218</c:v>
                </c:pt>
                <c:pt idx="101">
                  <c:v>85.368317605585332</c:v>
                </c:pt>
                <c:pt idx="102">
                  <c:v>82.566850775924223</c:v>
                </c:pt>
                <c:pt idx="103">
                  <c:v>79.850362628412896</c:v>
                </c:pt>
                <c:pt idx="104">
                  <c:v>77.226200776215464</c:v>
                </c:pt>
                <c:pt idx="105">
                  <c:v>74.6777954338379</c:v>
                </c:pt>
                <c:pt idx="106">
                  <c:v>72.221257338514889</c:v>
                </c:pt>
                <c:pt idx="107">
                  <c:v>69.8352009542308</c:v>
                </c:pt>
                <c:pt idx="108">
                  <c:v>67.531761991043339</c:v>
                </c:pt>
                <c:pt idx="109">
                  <c:v>65.298314902275223</c:v>
                </c:pt>
                <c:pt idx="110">
                  <c:v>63.136940632139591</c:v>
                </c:pt>
                <c:pt idx="111">
                  <c:v>61.045666901685692</c:v>
                </c:pt>
                <c:pt idx="112">
                  <c:v>59.016246026106145</c:v>
                </c:pt>
                <c:pt idx="113">
                  <c:v>57.057012459325769</c:v>
                </c:pt>
                <c:pt idx="114">
                  <c:v>55.152500129975749</c:v>
                </c:pt>
                <c:pt idx="115">
                  <c:v>53.312964759900737</c:v>
                </c:pt>
                <c:pt idx="116">
                  <c:v>51.526606634032213</c:v>
                </c:pt>
                <c:pt idx="117">
                  <c:v>49.795207330253547</c:v>
                </c:pt>
                <c:pt idx="118">
                  <c:v>48.118149254072982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2B0A-3441-9DDF-C6674EC63C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85882864"/>
        <c:axId val="285559376"/>
      </c:scatterChart>
      <c:valAx>
        <c:axId val="285882864"/>
        <c:scaling>
          <c:orientation val="minMax"/>
          <c:max val="3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Q/Q_bf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85559376"/>
        <c:crosses val="autoZero"/>
        <c:crossBetween val="midCat"/>
      </c:valAx>
      <c:valAx>
        <c:axId val="285559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est.</a:t>
                </a:r>
                <a:r>
                  <a:rPr lang="en-GB" baseline="0"/>
                  <a:t> T_R (s)</a:t>
                </a:r>
                <a:endParaRPr lang="en-GB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8588286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Aint</c:v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Calculations!$A$18:$A$138</c:f>
              <c:numCache>
                <c:formatCode>General</c:formatCode>
                <c:ptCount val="121"/>
                <c:pt idx="0">
                  <c:v>0</c:v>
                </c:pt>
                <c:pt idx="1">
                  <c:v>1.680672268907563E-2</c:v>
                </c:pt>
                <c:pt idx="2">
                  <c:v>3.3613445378151259E-2</c:v>
                </c:pt>
                <c:pt idx="3">
                  <c:v>5.0420168067226892E-2</c:v>
                </c:pt>
                <c:pt idx="4">
                  <c:v>6.7226890756302518E-2</c:v>
                </c:pt>
                <c:pt idx="5">
                  <c:v>8.4033613445378144E-2</c:v>
                </c:pt>
                <c:pt idx="6">
                  <c:v>0.10084033613445377</c:v>
                </c:pt>
                <c:pt idx="7">
                  <c:v>0.1176470588235294</c:v>
                </c:pt>
                <c:pt idx="8">
                  <c:v>0.13445378151260504</c:v>
                </c:pt>
                <c:pt idx="9">
                  <c:v>0.15126050420168066</c:v>
                </c:pt>
                <c:pt idx="10">
                  <c:v>0.16806722689075629</c:v>
                </c:pt>
                <c:pt idx="11">
                  <c:v>0.18487394957983191</c:v>
                </c:pt>
                <c:pt idx="12">
                  <c:v>0.20168067226890754</c:v>
                </c:pt>
                <c:pt idx="13">
                  <c:v>0.21848739495798317</c:v>
                </c:pt>
                <c:pt idx="14">
                  <c:v>0.23529411764705879</c:v>
                </c:pt>
                <c:pt idx="15">
                  <c:v>0.25210084033613445</c:v>
                </c:pt>
                <c:pt idx="16">
                  <c:v>0.26890756302521007</c:v>
                </c:pt>
                <c:pt idx="17">
                  <c:v>0.2857142857142857</c:v>
                </c:pt>
                <c:pt idx="18">
                  <c:v>0.30252100840336132</c:v>
                </c:pt>
                <c:pt idx="19">
                  <c:v>0.31932773109243695</c:v>
                </c:pt>
                <c:pt idx="20">
                  <c:v>0.33613445378151258</c:v>
                </c:pt>
                <c:pt idx="21">
                  <c:v>0.3529411764705882</c:v>
                </c:pt>
                <c:pt idx="22">
                  <c:v>0.36974789915966383</c:v>
                </c:pt>
                <c:pt idx="23">
                  <c:v>0.38655462184873945</c:v>
                </c:pt>
                <c:pt idx="24">
                  <c:v>0.40336134453781508</c:v>
                </c:pt>
                <c:pt idx="25">
                  <c:v>0.42016806722689071</c:v>
                </c:pt>
                <c:pt idx="26">
                  <c:v>0.43697478991596633</c:v>
                </c:pt>
                <c:pt idx="27">
                  <c:v>0.45378151260504196</c:v>
                </c:pt>
                <c:pt idx="28">
                  <c:v>0.47058823529411759</c:v>
                </c:pt>
                <c:pt idx="29">
                  <c:v>0.48739495798319321</c:v>
                </c:pt>
                <c:pt idx="30">
                  <c:v>0.50420168067226889</c:v>
                </c:pt>
                <c:pt idx="31">
                  <c:v>0.52100840336134457</c:v>
                </c:pt>
                <c:pt idx="32">
                  <c:v>0.53781512605042026</c:v>
                </c:pt>
                <c:pt idx="33">
                  <c:v>0.55462184873949594</c:v>
                </c:pt>
                <c:pt idx="34">
                  <c:v>0.57142857142857162</c:v>
                </c:pt>
                <c:pt idx="35">
                  <c:v>0.5882352941176473</c:v>
                </c:pt>
                <c:pt idx="36">
                  <c:v>0.60504201680672298</c:v>
                </c:pt>
                <c:pt idx="37">
                  <c:v>0.62184873949579866</c:v>
                </c:pt>
                <c:pt idx="38">
                  <c:v>0.63865546218487435</c:v>
                </c:pt>
                <c:pt idx="39">
                  <c:v>0.65546218487395003</c:v>
                </c:pt>
                <c:pt idx="40">
                  <c:v>0.67226890756302571</c:v>
                </c:pt>
                <c:pt idx="41">
                  <c:v>0.68907563025210139</c:v>
                </c:pt>
                <c:pt idx="42">
                  <c:v>0.70588235294117707</c:v>
                </c:pt>
                <c:pt idx="43">
                  <c:v>0.72268907563025275</c:v>
                </c:pt>
                <c:pt idx="44">
                  <c:v>0.73949579831932843</c:v>
                </c:pt>
                <c:pt idx="45">
                  <c:v>0.75630252100840412</c:v>
                </c:pt>
                <c:pt idx="46">
                  <c:v>0.7731092436974798</c:v>
                </c:pt>
                <c:pt idx="47">
                  <c:v>0.78991596638655548</c:v>
                </c:pt>
                <c:pt idx="48">
                  <c:v>0.80672268907563116</c:v>
                </c:pt>
                <c:pt idx="49">
                  <c:v>0.82352941176470684</c:v>
                </c:pt>
                <c:pt idx="50">
                  <c:v>0.84033613445378252</c:v>
                </c:pt>
                <c:pt idx="51">
                  <c:v>0.85714285714285821</c:v>
                </c:pt>
                <c:pt idx="52">
                  <c:v>0.87394957983193389</c:v>
                </c:pt>
                <c:pt idx="53">
                  <c:v>0.89075630252100957</c:v>
                </c:pt>
                <c:pt idx="54">
                  <c:v>0.90756302521008525</c:v>
                </c:pt>
                <c:pt idx="55">
                  <c:v>0.92436974789916093</c:v>
                </c:pt>
                <c:pt idx="56">
                  <c:v>0.94117647058823661</c:v>
                </c:pt>
                <c:pt idx="57">
                  <c:v>0.95798319327731229</c:v>
                </c:pt>
                <c:pt idx="58">
                  <c:v>0.97478991596638798</c:v>
                </c:pt>
                <c:pt idx="59">
                  <c:v>0.99159663865546366</c:v>
                </c:pt>
                <c:pt idx="60">
                  <c:v>1.0084033613445393</c:v>
                </c:pt>
                <c:pt idx="61">
                  <c:v>1.0252100840336149</c:v>
                </c:pt>
                <c:pt idx="62">
                  <c:v>1.0420168067226905</c:v>
                </c:pt>
                <c:pt idx="63">
                  <c:v>1.0588235294117661</c:v>
                </c:pt>
                <c:pt idx="64">
                  <c:v>1.0756302521008416</c:v>
                </c:pt>
                <c:pt idx="65">
                  <c:v>1.0924369747899172</c:v>
                </c:pt>
                <c:pt idx="66">
                  <c:v>1.1092436974789928</c:v>
                </c:pt>
                <c:pt idx="67">
                  <c:v>1.1260504201680683</c:v>
                </c:pt>
                <c:pt idx="68">
                  <c:v>1.1428571428571439</c:v>
                </c:pt>
                <c:pt idx="69">
                  <c:v>1.1596638655462195</c:v>
                </c:pt>
                <c:pt idx="70">
                  <c:v>1.176470588235295</c:v>
                </c:pt>
                <c:pt idx="71">
                  <c:v>1.1932773109243706</c:v>
                </c:pt>
                <c:pt idx="72">
                  <c:v>1.2100840336134462</c:v>
                </c:pt>
                <c:pt idx="73">
                  <c:v>1.2268907563025218</c:v>
                </c:pt>
                <c:pt idx="74">
                  <c:v>1.2436974789915973</c:v>
                </c:pt>
                <c:pt idx="75">
                  <c:v>1.2605042016806729</c:v>
                </c:pt>
                <c:pt idx="76">
                  <c:v>1.2773109243697485</c:v>
                </c:pt>
                <c:pt idx="77">
                  <c:v>1.294117647058824</c:v>
                </c:pt>
                <c:pt idx="78">
                  <c:v>1.3109243697478996</c:v>
                </c:pt>
                <c:pt idx="79">
                  <c:v>1.3277310924369752</c:v>
                </c:pt>
                <c:pt idx="80">
                  <c:v>1.3445378151260508</c:v>
                </c:pt>
                <c:pt idx="81">
                  <c:v>1.3613445378151263</c:v>
                </c:pt>
                <c:pt idx="82">
                  <c:v>1.3781512605042019</c:v>
                </c:pt>
                <c:pt idx="83">
                  <c:v>1.3949579831932775</c:v>
                </c:pt>
                <c:pt idx="84">
                  <c:v>1.411764705882353</c:v>
                </c:pt>
                <c:pt idx="85">
                  <c:v>1.4285714285714286</c:v>
                </c:pt>
                <c:pt idx="86">
                  <c:v>1.4453781512605042</c:v>
                </c:pt>
                <c:pt idx="87">
                  <c:v>1.4621848739495797</c:v>
                </c:pt>
                <c:pt idx="88">
                  <c:v>1.4789915966386553</c:v>
                </c:pt>
                <c:pt idx="89">
                  <c:v>1.4957983193277309</c:v>
                </c:pt>
                <c:pt idx="90">
                  <c:v>1.5126050420168065</c:v>
                </c:pt>
                <c:pt idx="91">
                  <c:v>1.529411764705882</c:v>
                </c:pt>
                <c:pt idx="92">
                  <c:v>1.5462184873949576</c:v>
                </c:pt>
                <c:pt idx="93">
                  <c:v>1.5630252100840332</c:v>
                </c:pt>
                <c:pt idx="94">
                  <c:v>1.5798319327731087</c:v>
                </c:pt>
                <c:pt idx="95">
                  <c:v>1.5966386554621843</c:v>
                </c:pt>
                <c:pt idx="96">
                  <c:v>1.6134453781512599</c:v>
                </c:pt>
                <c:pt idx="97">
                  <c:v>1.6302521008403354</c:v>
                </c:pt>
                <c:pt idx="98">
                  <c:v>1.647058823529411</c:v>
                </c:pt>
                <c:pt idx="99">
                  <c:v>1.6638655462184866</c:v>
                </c:pt>
                <c:pt idx="100">
                  <c:v>1.6806722689075622</c:v>
                </c:pt>
                <c:pt idx="101">
                  <c:v>1.6974789915966377</c:v>
                </c:pt>
                <c:pt idx="102">
                  <c:v>1.7142857142857133</c:v>
                </c:pt>
                <c:pt idx="103">
                  <c:v>1.7310924369747889</c:v>
                </c:pt>
                <c:pt idx="104">
                  <c:v>1.7478991596638644</c:v>
                </c:pt>
                <c:pt idx="105">
                  <c:v>1.76470588235294</c:v>
                </c:pt>
                <c:pt idx="106">
                  <c:v>1.7815126050420156</c:v>
                </c:pt>
                <c:pt idx="107">
                  <c:v>1.7983193277310912</c:v>
                </c:pt>
                <c:pt idx="108">
                  <c:v>1.8151260504201667</c:v>
                </c:pt>
                <c:pt idx="109">
                  <c:v>1.8319327731092423</c:v>
                </c:pt>
                <c:pt idx="110">
                  <c:v>1.8487394957983179</c:v>
                </c:pt>
                <c:pt idx="111">
                  <c:v>1.8655462184873934</c:v>
                </c:pt>
                <c:pt idx="112">
                  <c:v>1.882352941176469</c:v>
                </c:pt>
                <c:pt idx="113">
                  <c:v>1.8991596638655446</c:v>
                </c:pt>
                <c:pt idx="114">
                  <c:v>1.9159663865546201</c:v>
                </c:pt>
                <c:pt idx="115">
                  <c:v>1.9327731092436957</c:v>
                </c:pt>
                <c:pt idx="116">
                  <c:v>1.9495798319327713</c:v>
                </c:pt>
                <c:pt idx="117">
                  <c:v>1.9663865546218469</c:v>
                </c:pt>
                <c:pt idx="118">
                  <c:v>1.9831932773109224</c:v>
                </c:pt>
                <c:pt idx="119">
                  <c:v>1.999999999999998</c:v>
                </c:pt>
              </c:numCache>
            </c:numRef>
          </c:xVal>
          <c:yVal>
            <c:numRef>
              <c:f>Calculations!$D$18:$D$137</c:f>
              <c:numCache>
                <c:formatCode>General</c:formatCode>
                <c:ptCount val="120"/>
                <c:pt idx="0">
                  <c:v>0</c:v>
                </c:pt>
                <c:pt idx="1">
                  <c:v>5.0561401031000638E-2</c:v>
                </c:pt>
                <c:pt idx="2">
                  <c:v>0.10140526798954877</c:v>
                </c:pt>
                <c:pt idx="3">
                  <c:v>0.15253160087564438</c:v>
                </c:pt>
                <c:pt idx="4">
                  <c:v>0.20394039968928748</c:v>
                </c:pt>
                <c:pt idx="5">
                  <c:v>0.25563166443047808</c:v>
                </c:pt>
                <c:pt idx="6">
                  <c:v>0.30760539509921614</c:v>
                </c:pt>
                <c:pt idx="7">
                  <c:v>0.35986159169550169</c:v>
                </c:pt>
                <c:pt idx="8">
                  <c:v>0.41240025421933479</c:v>
                </c:pt>
                <c:pt idx="9">
                  <c:v>0.46522138267071528</c:v>
                </c:pt>
                <c:pt idx="10">
                  <c:v>0.51832497704964342</c:v>
                </c:pt>
                <c:pt idx="11">
                  <c:v>0.57171103735611883</c:v>
                </c:pt>
                <c:pt idx="12">
                  <c:v>0.62537956359014191</c:v>
                </c:pt>
                <c:pt idx="13">
                  <c:v>0.67933055575171231</c:v>
                </c:pt>
                <c:pt idx="14">
                  <c:v>0.73356401384083036</c:v>
                </c:pt>
                <c:pt idx="15">
                  <c:v>0.78807993785749586</c:v>
                </c:pt>
                <c:pt idx="16">
                  <c:v>0.8428783278017089</c:v>
                </c:pt>
                <c:pt idx="17">
                  <c:v>0.89795918367346939</c:v>
                </c:pt>
                <c:pt idx="18">
                  <c:v>0.95332250547277719</c:v>
                </c:pt>
                <c:pt idx="19">
                  <c:v>1.0089682931996327</c:v>
                </c:pt>
                <c:pt idx="20">
                  <c:v>1.0648965468540357</c:v>
                </c:pt>
                <c:pt idx="21">
                  <c:v>1.121107266435986</c:v>
                </c:pt>
                <c:pt idx="22">
                  <c:v>1.1776004519454839</c:v>
                </c:pt>
                <c:pt idx="23">
                  <c:v>1.2343761033825293</c:v>
                </c:pt>
                <c:pt idx="24">
                  <c:v>1.2914342207471223</c:v>
                </c:pt>
                <c:pt idx="25">
                  <c:v>1.3487748040392626</c:v>
                </c:pt>
                <c:pt idx="26">
                  <c:v>1.4063978532589503</c:v>
                </c:pt>
                <c:pt idx="27">
                  <c:v>1.4643033684061857</c:v>
                </c:pt>
                <c:pt idx="28">
                  <c:v>1.5224913494809686</c:v>
                </c:pt>
                <c:pt idx="29">
                  <c:v>1.5809617964832989</c:v>
                </c:pt>
                <c:pt idx="30">
                  <c:v>1.639714709413177</c:v>
                </c:pt>
                <c:pt idx="31">
                  <c:v>1.6987500882706026</c:v>
                </c:pt>
                <c:pt idx="32">
                  <c:v>1.7580679330555755</c:v>
                </c:pt>
                <c:pt idx="33">
                  <c:v>1.8176682437680958</c:v>
                </c:pt>
                <c:pt idx="34">
                  <c:v>1.877551020408164</c:v>
                </c:pt>
                <c:pt idx="35">
                  <c:v>1.9377162629757796</c:v>
                </c:pt>
                <c:pt idx="36">
                  <c:v>1.9981639714709423</c:v>
                </c:pt>
                <c:pt idx="37">
                  <c:v>2.0588941458936527</c:v>
                </c:pt>
                <c:pt idx="38">
                  <c:v>2.1199067862439107</c:v>
                </c:pt>
                <c:pt idx="39">
                  <c:v>2.1812018925217163</c:v>
                </c:pt>
                <c:pt idx="40">
                  <c:v>2.2427794647270693</c:v>
                </c:pt>
                <c:pt idx="41">
                  <c:v>2.3046395028599695</c:v>
                </c:pt>
                <c:pt idx="42">
                  <c:v>2.3667820069204173</c:v>
                </c:pt>
                <c:pt idx="43">
                  <c:v>2.429206976908413</c:v>
                </c:pt>
                <c:pt idx="44">
                  <c:v>2.4919144128239554</c:v>
                </c:pt>
                <c:pt idx="45">
                  <c:v>2.5549043146670458</c:v>
                </c:pt>
                <c:pt idx="46">
                  <c:v>2.6181766824376842</c:v>
                </c:pt>
                <c:pt idx="47">
                  <c:v>2.6817315161358692</c:v>
                </c:pt>
                <c:pt idx="48">
                  <c:v>2.7455688157616023</c:v>
                </c:pt>
                <c:pt idx="49">
                  <c:v>2.8096885813148824</c:v>
                </c:pt>
                <c:pt idx="50">
                  <c:v>2.8740908127957105</c:v>
                </c:pt>
                <c:pt idx="51">
                  <c:v>2.9387755102040858</c:v>
                </c:pt>
                <c:pt idx="52">
                  <c:v>3.0037426735400086</c:v>
                </c:pt>
                <c:pt idx="53">
                  <c:v>3.0689923028034789</c:v>
                </c:pt>
                <c:pt idx="54">
                  <c:v>3.1345243979944968</c:v>
                </c:pt>
                <c:pt idx="55">
                  <c:v>3.2003389591130622</c:v>
                </c:pt>
                <c:pt idx="56">
                  <c:v>3.2664359861591752</c:v>
                </c:pt>
                <c:pt idx="57">
                  <c:v>3.3328154791328348</c:v>
                </c:pt>
                <c:pt idx="58">
                  <c:v>3.3994774380340429</c:v>
                </c:pt>
                <c:pt idx="59">
                  <c:v>3.4664218628627981</c:v>
                </c:pt>
                <c:pt idx="60">
                  <c:v>3.5337546783419311</c:v>
                </c:pt>
                <c:pt idx="61">
                  <c:v>3.6021114328084236</c:v>
                </c:pt>
                <c:pt idx="62">
                  <c:v>3.6715980509851058</c:v>
                </c:pt>
                <c:pt idx="63">
                  <c:v>3.7422145328719782</c:v>
                </c:pt>
                <c:pt idx="64">
                  <c:v>3.8139608784690404</c:v>
                </c:pt>
                <c:pt idx="65">
                  <c:v>3.8868370877762923</c:v>
                </c:pt>
                <c:pt idx="66">
                  <c:v>3.9608431607937344</c:v>
                </c:pt>
                <c:pt idx="67">
                  <c:v>4.0359790975213663</c:v>
                </c:pt>
                <c:pt idx="68">
                  <c:v>4.1122448979591884</c:v>
                </c:pt>
                <c:pt idx="69">
                  <c:v>4.1896405621072006</c:v>
                </c:pt>
                <c:pt idx="70">
                  <c:v>4.2681660899654021</c:v>
                </c:pt>
                <c:pt idx="71">
                  <c:v>4.3478214815337939</c:v>
                </c:pt>
                <c:pt idx="72">
                  <c:v>4.4286067368123758</c:v>
                </c:pt>
                <c:pt idx="73">
                  <c:v>4.510521855801148</c:v>
                </c:pt>
                <c:pt idx="74">
                  <c:v>4.5935668385001094</c:v>
                </c:pt>
                <c:pt idx="75">
                  <c:v>4.677741684909261</c:v>
                </c:pt>
                <c:pt idx="76">
                  <c:v>4.7630463950286028</c:v>
                </c:pt>
                <c:pt idx="77">
                  <c:v>4.849480968858134</c:v>
                </c:pt>
                <c:pt idx="78">
                  <c:v>4.9370454063978553</c:v>
                </c:pt>
                <c:pt idx="79">
                  <c:v>5.0257397076477668</c:v>
                </c:pt>
                <c:pt idx="80">
                  <c:v>5.1155638726078685</c:v>
                </c:pt>
                <c:pt idx="81">
                  <c:v>5.2065179012781595</c:v>
                </c:pt>
                <c:pt idx="82">
                  <c:v>5.2986017936586407</c:v>
                </c:pt>
                <c:pt idx="83">
                  <c:v>5.3918155497493121</c:v>
                </c:pt>
                <c:pt idx="84">
                  <c:v>5.4861591695501737</c:v>
                </c:pt>
                <c:pt idx="85">
                  <c:v>5.5816326530612246</c:v>
                </c:pt>
                <c:pt idx="86">
                  <c:v>5.6782360002824657</c:v>
                </c:pt>
                <c:pt idx="87">
                  <c:v>5.7759692112138969</c:v>
                </c:pt>
                <c:pt idx="88">
                  <c:v>5.8748322858555184</c:v>
                </c:pt>
                <c:pt idx="89">
                  <c:v>5.9748252242073292</c:v>
                </c:pt>
                <c:pt idx="90">
                  <c:v>6.0759480262693302</c:v>
                </c:pt>
                <c:pt idx="91">
                  <c:v>6.1782006920415204</c:v>
                </c:pt>
                <c:pt idx="92">
                  <c:v>6.2815832215239009</c:v>
                </c:pt>
                <c:pt idx="93">
                  <c:v>6.3860956147164725</c:v>
                </c:pt>
                <c:pt idx="94">
                  <c:v>6.4917378716192324</c:v>
                </c:pt>
                <c:pt idx="95">
                  <c:v>6.5985099922321835</c:v>
                </c:pt>
                <c:pt idx="96">
                  <c:v>6.7064119765553238</c:v>
                </c:pt>
                <c:pt idx="97">
                  <c:v>6.8154438245886544</c:v>
                </c:pt>
                <c:pt idx="98">
                  <c:v>6.9256055363321751</c:v>
                </c:pt>
                <c:pt idx="99">
                  <c:v>7.0368971117858852</c:v>
                </c:pt>
                <c:pt idx="100">
                  <c:v>7.1493185509497863</c:v>
                </c:pt>
                <c:pt idx="101">
                  <c:v>7.2628698538238758</c:v>
                </c:pt>
                <c:pt idx="102">
                  <c:v>7.3775510204081565</c:v>
                </c:pt>
                <c:pt idx="103">
                  <c:v>7.4933620507026273</c:v>
                </c:pt>
                <c:pt idx="104">
                  <c:v>7.6103029447072874</c:v>
                </c:pt>
                <c:pt idx="105">
                  <c:v>7.7283737024221368</c:v>
                </c:pt>
                <c:pt idx="106">
                  <c:v>7.8475743238471773</c:v>
                </c:pt>
                <c:pt idx="107">
                  <c:v>7.9679048089824072</c:v>
                </c:pt>
                <c:pt idx="108">
                  <c:v>8.0893651578278281</c:v>
                </c:pt>
                <c:pt idx="109">
                  <c:v>8.2119553703834374</c:v>
                </c:pt>
                <c:pt idx="110">
                  <c:v>8.3356754466492369</c:v>
                </c:pt>
                <c:pt idx="111">
                  <c:v>8.4605253866252266</c:v>
                </c:pt>
                <c:pt idx="112">
                  <c:v>8.5865051903114065</c:v>
                </c:pt>
                <c:pt idx="113">
                  <c:v>8.7136148577077766</c:v>
                </c:pt>
                <c:pt idx="114">
                  <c:v>8.8418543888143368</c:v>
                </c:pt>
                <c:pt idx="115">
                  <c:v>8.9712237836310855</c:v>
                </c:pt>
                <c:pt idx="116">
                  <c:v>9.1017230421580244</c:v>
                </c:pt>
                <c:pt idx="117">
                  <c:v>9.2333521643951553</c:v>
                </c:pt>
                <c:pt idx="118">
                  <c:v>9.3661111503424745</c:v>
                </c:pt>
                <c:pt idx="119">
                  <c:v>9.499999999999984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62E-004E-87CB-F134175B536D}"/>
            </c:ext>
          </c:extLst>
        </c:ser>
        <c:ser>
          <c:idx val="1"/>
          <c:order val="1"/>
          <c:tx>
            <c:v>Vbw1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Calculations!$A$18:$A$137</c:f>
              <c:numCache>
                <c:formatCode>General</c:formatCode>
                <c:ptCount val="120"/>
                <c:pt idx="0">
                  <c:v>0</c:v>
                </c:pt>
                <c:pt idx="1">
                  <c:v>1.680672268907563E-2</c:v>
                </c:pt>
                <c:pt idx="2">
                  <c:v>3.3613445378151259E-2</c:v>
                </c:pt>
                <c:pt idx="3">
                  <c:v>5.0420168067226892E-2</c:v>
                </c:pt>
                <c:pt idx="4">
                  <c:v>6.7226890756302518E-2</c:v>
                </c:pt>
                <c:pt idx="5">
                  <c:v>8.4033613445378144E-2</c:v>
                </c:pt>
                <c:pt idx="6">
                  <c:v>0.10084033613445377</c:v>
                </c:pt>
                <c:pt idx="7">
                  <c:v>0.1176470588235294</c:v>
                </c:pt>
                <c:pt idx="8">
                  <c:v>0.13445378151260504</c:v>
                </c:pt>
                <c:pt idx="9">
                  <c:v>0.15126050420168066</c:v>
                </c:pt>
                <c:pt idx="10">
                  <c:v>0.16806722689075629</c:v>
                </c:pt>
                <c:pt idx="11">
                  <c:v>0.18487394957983191</c:v>
                </c:pt>
                <c:pt idx="12">
                  <c:v>0.20168067226890754</c:v>
                </c:pt>
                <c:pt idx="13">
                  <c:v>0.21848739495798317</c:v>
                </c:pt>
                <c:pt idx="14">
                  <c:v>0.23529411764705879</c:v>
                </c:pt>
                <c:pt idx="15">
                  <c:v>0.25210084033613445</c:v>
                </c:pt>
                <c:pt idx="16">
                  <c:v>0.26890756302521007</c:v>
                </c:pt>
                <c:pt idx="17">
                  <c:v>0.2857142857142857</c:v>
                </c:pt>
                <c:pt idx="18">
                  <c:v>0.30252100840336132</c:v>
                </c:pt>
                <c:pt idx="19">
                  <c:v>0.31932773109243695</c:v>
                </c:pt>
                <c:pt idx="20">
                  <c:v>0.33613445378151258</c:v>
                </c:pt>
                <c:pt idx="21">
                  <c:v>0.3529411764705882</c:v>
                </c:pt>
                <c:pt idx="22">
                  <c:v>0.36974789915966383</c:v>
                </c:pt>
                <c:pt idx="23">
                  <c:v>0.38655462184873945</c:v>
                </c:pt>
                <c:pt idx="24">
                  <c:v>0.40336134453781508</c:v>
                </c:pt>
                <c:pt idx="25">
                  <c:v>0.42016806722689071</c:v>
                </c:pt>
                <c:pt idx="26">
                  <c:v>0.43697478991596633</c:v>
                </c:pt>
                <c:pt idx="27">
                  <c:v>0.45378151260504196</c:v>
                </c:pt>
                <c:pt idx="28">
                  <c:v>0.47058823529411759</c:v>
                </c:pt>
                <c:pt idx="29">
                  <c:v>0.48739495798319321</c:v>
                </c:pt>
                <c:pt idx="30">
                  <c:v>0.50420168067226889</c:v>
                </c:pt>
                <c:pt idx="31">
                  <c:v>0.52100840336134457</c:v>
                </c:pt>
                <c:pt idx="32">
                  <c:v>0.53781512605042026</c:v>
                </c:pt>
                <c:pt idx="33">
                  <c:v>0.55462184873949594</c:v>
                </c:pt>
                <c:pt idx="34">
                  <c:v>0.57142857142857162</c:v>
                </c:pt>
                <c:pt idx="35">
                  <c:v>0.5882352941176473</c:v>
                </c:pt>
                <c:pt idx="36">
                  <c:v>0.60504201680672298</c:v>
                </c:pt>
                <c:pt idx="37">
                  <c:v>0.62184873949579866</c:v>
                </c:pt>
                <c:pt idx="38">
                  <c:v>0.63865546218487435</c:v>
                </c:pt>
                <c:pt idx="39">
                  <c:v>0.65546218487395003</c:v>
                </c:pt>
                <c:pt idx="40">
                  <c:v>0.67226890756302571</c:v>
                </c:pt>
                <c:pt idx="41">
                  <c:v>0.68907563025210139</c:v>
                </c:pt>
                <c:pt idx="42">
                  <c:v>0.70588235294117707</c:v>
                </c:pt>
                <c:pt idx="43">
                  <c:v>0.72268907563025275</c:v>
                </c:pt>
                <c:pt idx="44">
                  <c:v>0.73949579831932843</c:v>
                </c:pt>
                <c:pt idx="45">
                  <c:v>0.75630252100840412</c:v>
                </c:pt>
                <c:pt idx="46">
                  <c:v>0.7731092436974798</c:v>
                </c:pt>
                <c:pt idx="47">
                  <c:v>0.78991596638655548</c:v>
                </c:pt>
                <c:pt idx="48">
                  <c:v>0.80672268907563116</c:v>
                </c:pt>
                <c:pt idx="49">
                  <c:v>0.82352941176470684</c:v>
                </c:pt>
                <c:pt idx="50">
                  <c:v>0.84033613445378252</c:v>
                </c:pt>
                <c:pt idx="51">
                  <c:v>0.85714285714285821</c:v>
                </c:pt>
                <c:pt idx="52">
                  <c:v>0.87394957983193389</c:v>
                </c:pt>
                <c:pt idx="53">
                  <c:v>0.89075630252100957</c:v>
                </c:pt>
                <c:pt idx="54">
                  <c:v>0.90756302521008525</c:v>
                </c:pt>
                <c:pt idx="55">
                  <c:v>0.92436974789916093</c:v>
                </c:pt>
                <c:pt idx="56">
                  <c:v>0.94117647058823661</c:v>
                </c:pt>
                <c:pt idx="57">
                  <c:v>0.95798319327731229</c:v>
                </c:pt>
                <c:pt idx="58">
                  <c:v>0.97478991596638798</c:v>
                </c:pt>
                <c:pt idx="59">
                  <c:v>0.99159663865546366</c:v>
                </c:pt>
                <c:pt idx="60">
                  <c:v>1.0084033613445393</c:v>
                </c:pt>
                <c:pt idx="61">
                  <c:v>1.0252100840336149</c:v>
                </c:pt>
                <c:pt idx="62">
                  <c:v>1.0420168067226905</c:v>
                </c:pt>
                <c:pt idx="63">
                  <c:v>1.0588235294117661</c:v>
                </c:pt>
                <c:pt idx="64">
                  <c:v>1.0756302521008416</c:v>
                </c:pt>
                <c:pt idx="65">
                  <c:v>1.0924369747899172</c:v>
                </c:pt>
                <c:pt idx="66">
                  <c:v>1.1092436974789928</c:v>
                </c:pt>
                <c:pt idx="67">
                  <c:v>1.1260504201680683</c:v>
                </c:pt>
                <c:pt idx="68">
                  <c:v>1.1428571428571439</c:v>
                </c:pt>
                <c:pt idx="69">
                  <c:v>1.1596638655462195</c:v>
                </c:pt>
                <c:pt idx="70">
                  <c:v>1.176470588235295</c:v>
                </c:pt>
                <c:pt idx="71">
                  <c:v>1.1932773109243706</c:v>
                </c:pt>
                <c:pt idx="72">
                  <c:v>1.2100840336134462</c:v>
                </c:pt>
                <c:pt idx="73">
                  <c:v>1.2268907563025218</c:v>
                </c:pt>
                <c:pt idx="74">
                  <c:v>1.2436974789915973</c:v>
                </c:pt>
                <c:pt idx="75">
                  <c:v>1.2605042016806729</c:v>
                </c:pt>
                <c:pt idx="76">
                  <c:v>1.2773109243697485</c:v>
                </c:pt>
                <c:pt idx="77">
                  <c:v>1.294117647058824</c:v>
                </c:pt>
                <c:pt idx="78">
                  <c:v>1.3109243697478996</c:v>
                </c:pt>
                <c:pt idx="79">
                  <c:v>1.3277310924369752</c:v>
                </c:pt>
                <c:pt idx="80">
                  <c:v>1.3445378151260508</c:v>
                </c:pt>
                <c:pt idx="81">
                  <c:v>1.3613445378151263</c:v>
                </c:pt>
                <c:pt idx="82">
                  <c:v>1.3781512605042019</c:v>
                </c:pt>
                <c:pt idx="83">
                  <c:v>1.3949579831932775</c:v>
                </c:pt>
                <c:pt idx="84">
                  <c:v>1.411764705882353</c:v>
                </c:pt>
                <c:pt idx="85">
                  <c:v>1.4285714285714286</c:v>
                </c:pt>
                <c:pt idx="86">
                  <c:v>1.4453781512605042</c:v>
                </c:pt>
                <c:pt idx="87">
                  <c:v>1.4621848739495797</c:v>
                </c:pt>
                <c:pt idx="88">
                  <c:v>1.4789915966386553</c:v>
                </c:pt>
                <c:pt idx="89">
                  <c:v>1.4957983193277309</c:v>
                </c:pt>
                <c:pt idx="90">
                  <c:v>1.5126050420168065</c:v>
                </c:pt>
                <c:pt idx="91">
                  <c:v>1.529411764705882</c:v>
                </c:pt>
                <c:pt idx="92">
                  <c:v>1.5462184873949576</c:v>
                </c:pt>
                <c:pt idx="93">
                  <c:v>1.5630252100840332</c:v>
                </c:pt>
                <c:pt idx="94">
                  <c:v>1.5798319327731087</c:v>
                </c:pt>
                <c:pt idx="95">
                  <c:v>1.5966386554621843</c:v>
                </c:pt>
                <c:pt idx="96">
                  <c:v>1.6134453781512599</c:v>
                </c:pt>
                <c:pt idx="97">
                  <c:v>1.6302521008403354</c:v>
                </c:pt>
                <c:pt idx="98">
                  <c:v>1.647058823529411</c:v>
                </c:pt>
                <c:pt idx="99">
                  <c:v>1.6638655462184866</c:v>
                </c:pt>
                <c:pt idx="100">
                  <c:v>1.6806722689075622</c:v>
                </c:pt>
                <c:pt idx="101">
                  <c:v>1.6974789915966377</c:v>
                </c:pt>
                <c:pt idx="102">
                  <c:v>1.7142857142857133</c:v>
                </c:pt>
                <c:pt idx="103">
                  <c:v>1.7310924369747889</c:v>
                </c:pt>
                <c:pt idx="104">
                  <c:v>1.7478991596638644</c:v>
                </c:pt>
                <c:pt idx="105">
                  <c:v>1.76470588235294</c:v>
                </c:pt>
                <c:pt idx="106">
                  <c:v>1.7815126050420156</c:v>
                </c:pt>
                <c:pt idx="107">
                  <c:v>1.7983193277310912</c:v>
                </c:pt>
                <c:pt idx="108">
                  <c:v>1.8151260504201667</c:v>
                </c:pt>
                <c:pt idx="109">
                  <c:v>1.8319327731092423</c:v>
                </c:pt>
                <c:pt idx="110">
                  <c:v>1.8487394957983179</c:v>
                </c:pt>
                <c:pt idx="111">
                  <c:v>1.8655462184873934</c:v>
                </c:pt>
                <c:pt idx="112">
                  <c:v>1.882352941176469</c:v>
                </c:pt>
                <c:pt idx="113">
                  <c:v>1.8991596638655446</c:v>
                </c:pt>
                <c:pt idx="114">
                  <c:v>1.9159663865546201</c:v>
                </c:pt>
                <c:pt idx="115">
                  <c:v>1.9327731092436957</c:v>
                </c:pt>
                <c:pt idx="116">
                  <c:v>1.9495798319327713</c:v>
                </c:pt>
                <c:pt idx="117">
                  <c:v>1.9663865546218469</c:v>
                </c:pt>
                <c:pt idx="118">
                  <c:v>1.9831932773109224</c:v>
                </c:pt>
                <c:pt idx="119">
                  <c:v>1.999999999999998</c:v>
                </c:pt>
              </c:numCache>
            </c:numRef>
          </c:xVal>
          <c:yVal>
            <c:numRef>
              <c:f>Calculations!$M$18:$M$137</c:f>
              <c:numCache>
                <c:formatCode>General</c:formatCode>
                <c:ptCount val="120"/>
                <c:pt idx="0">
                  <c:v>0</c:v>
                </c:pt>
                <c:pt idx="1">
                  <c:v>1.7843875494922494E-2</c:v>
                </c:pt>
                <c:pt idx="2">
                  <c:v>5.0638526733994799E-2</c:v>
                </c:pt>
                <c:pt idx="3">
                  <c:v>7.3988401288165986E-2</c:v>
                </c:pt>
                <c:pt idx="4">
                  <c:v>0.10174251933226086</c:v>
                </c:pt>
                <c:pt idx="5">
                  <c:v>0.12621101709053359</c:v>
                </c:pt>
                <c:pt idx="6">
                  <c:v>0.15331715982553221</c:v>
                </c:pt>
                <c:pt idx="7">
                  <c:v>0.17840929967279739</c:v>
                </c:pt>
                <c:pt idx="8">
                  <c:v>0.20536345662422814</c:v>
                </c:pt>
                <c:pt idx="9">
                  <c:v>0.23091782739769351</c:v>
                </c:pt>
                <c:pt idx="10">
                  <c:v>0.25788207586408979</c:v>
                </c:pt>
                <c:pt idx="11">
                  <c:v>0.28382616719170878</c:v>
                </c:pt>
                <c:pt idx="12">
                  <c:v>0.31087360482877213</c:v>
                </c:pt>
                <c:pt idx="13">
                  <c:v>0.33716882208778898</c:v>
                </c:pt>
                <c:pt idx="14">
                  <c:v>0.36433860459801287</c:v>
                </c:pt>
                <c:pt idx="15">
                  <c:v>0.39096211724017582</c:v>
                </c:pt>
                <c:pt idx="16">
                  <c:v>0.41827762545591074</c:v>
                </c:pt>
                <c:pt idx="17">
                  <c:v>0.44521492862063972</c:v>
                </c:pt>
                <c:pt idx="18">
                  <c:v>0.47269121245819307</c:v>
                </c:pt>
                <c:pt idx="19">
                  <c:v>0.49993261328792177</c:v>
                </c:pt>
                <c:pt idx="20">
                  <c:v>0.52757990771114216</c:v>
                </c:pt>
                <c:pt idx="21">
                  <c:v>0.55511868807885711</c:v>
                </c:pt>
                <c:pt idx="22">
                  <c:v>0.58294425136518513</c:v>
                </c:pt>
                <c:pt idx="23">
                  <c:v>0.61077563064225915</c:v>
                </c:pt>
                <c:pt idx="24">
                  <c:v>0.63878478204679401</c:v>
                </c:pt>
                <c:pt idx="25">
                  <c:v>0.66690529527940612</c:v>
                </c:pt>
                <c:pt idx="26">
                  <c:v>0.69510203702425077</c:v>
                </c:pt>
                <c:pt idx="27">
                  <c:v>0.72350914364906904</c:v>
                </c:pt>
                <c:pt idx="28">
                  <c:v>0.75189655223990548</c:v>
                </c:pt>
                <c:pt idx="29">
                  <c:v>0.78058837983807583</c:v>
                </c:pt>
                <c:pt idx="30">
                  <c:v>0.80916886227304274</c:v>
                </c:pt>
                <c:pt idx="31">
                  <c:v>0.8381440330406853</c:v>
                </c:pt>
                <c:pt idx="32">
                  <c:v>0.86691950026626297</c:v>
                </c:pt>
                <c:pt idx="33">
                  <c:v>0.89617701009879569</c:v>
                </c:pt>
                <c:pt idx="34">
                  <c:v>0.92514899783309668</c:v>
                </c:pt>
                <c:pt idx="35">
                  <c:v>0.95464499413216652</c:v>
                </c:pt>
                <c:pt idx="36">
                  <c:v>0.98385788495677107</c:v>
                </c:pt>
                <c:pt idx="37">
                  <c:v>1.0135361214719421</c:v>
                </c:pt>
                <c:pt idx="38">
                  <c:v>1.043046689885835</c:v>
                </c:pt>
                <c:pt idx="39">
                  <c:v>1.0729096106705738</c:v>
                </c:pt>
                <c:pt idx="40">
                  <c:v>1.1027159390300136</c:v>
                </c:pt>
                <c:pt idx="41">
                  <c:v>1.1327656244234352</c:v>
                </c:pt>
                <c:pt idx="42">
                  <c:v>1.162866156858271</c:v>
                </c:pt>
                <c:pt idx="43">
                  <c:v>1.1931043889399522</c:v>
                </c:pt>
                <c:pt idx="44">
                  <c:v>1.2234978658002835</c:v>
                </c:pt>
                <c:pt idx="45">
                  <c:v>1.2539261797918781</c:v>
                </c:pt>
                <c:pt idx="46">
                  <c:v>1.2846115861519878</c:v>
                </c:pt>
                <c:pt idx="47">
                  <c:v>1.315231311234853</c:v>
                </c:pt>
                <c:pt idx="48">
                  <c:v>1.346207835985592</c:v>
                </c:pt>
                <c:pt idx="49">
                  <c:v>1.3770201280440386</c:v>
                </c:pt>
                <c:pt idx="50">
                  <c:v>1.4082434368699495</c:v>
                </c:pt>
                <c:pt idx="51">
                  <c:v>1.4392929991962669</c:v>
                </c:pt>
                <c:pt idx="52">
                  <c:v>1.4707032200400587</c:v>
                </c:pt>
                <c:pt idx="53">
                  <c:v>1.5020503129266174</c:v>
                </c:pt>
                <c:pt idx="54">
                  <c:v>1.5336487384479756</c:v>
                </c:pt>
                <c:pt idx="55">
                  <c:v>1.5652924728207049</c:v>
                </c:pt>
                <c:pt idx="56">
                  <c:v>1.5970802533728539</c:v>
                </c:pt>
                <c:pt idx="57">
                  <c:v>1.6290198946963197</c:v>
                </c:pt>
                <c:pt idx="58">
                  <c:v>1.6609980568262979</c:v>
                </c:pt>
                <c:pt idx="59">
                  <c:v>1.6932330040930814</c:v>
                </c:pt>
                <c:pt idx="60">
                  <c:v>1.7254377987795728</c:v>
                </c:pt>
                <c:pt idx="61">
                  <c:v>1.7582500853790084</c:v>
                </c:pt>
                <c:pt idx="62">
                  <c:v>1.7911788375343289</c:v>
                </c:pt>
                <c:pt idx="63">
                  <c:v>1.8247342040811609</c:v>
                </c:pt>
                <c:pt idx="64">
                  <c:v>1.8585454524129719</c:v>
                </c:pt>
                <c:pt idx="65">
                  <c:v>1.8928381515809327</c:v>
                </c:pt>
                <c:pt idx="66">
                  <c:v>1.9275445886747054</c:v>
                </c:pt>
                <c:pt idx="67">
                  <c:v>1.9625694126479301</c:v>
                </c:pt>
                <c:pt idx="68">
                  <c:v>1.9981829216432894</c:v>
                </c:pt>
                <c:pt idx="69">
                  <c:v>2.0339354962761447</c:v>
                </c:pt>
                <c:pt idx="70">
                  <c:v>2.0702677596205636</c:v>
                </c:pt>
                <c:pt idx="71">
                  <c:v>2.106943960105236</c:v>
                </c:pt>
                <c:pt idx="72">
                  <c:v>2.132053875168733</c:v>
                </c:pt>
                <c:pt idx="73">
                  <c:v>2.1602428550247041</c:v>
                </c:pt>
                <c:pt idx="74">
                  <c:v>2.1971035603725828</c:v>
                </c:pt>
                <c:pt idx="75">
                  <c:v>2.2406658237913515</c:v>
                </c:pt>
                <c:pt idx="76">
                  <c:v>2.2896558452035847</c:v>
                </c:pt>
                <c:pt idx="77">
                  <c:v>2.3435871989815205</c:v>
                </c:pt>
                <c:pt idx="78">
                  <c:v>2.4019210931801296</c:v>
                </c:pt>
                <c:pt idx="79">
                  <c:v>2.464251396803967</c:v>
                </c:pt>
                <c:pt idx="80">
                  <c:v>2.5302606389060696</c:v>
                </c:pt>
                <c:pt idx="81">
                  <c:v>2.59969423215232</c:v>
                </c:pt>
                <c:pt idx="82">
                  <c:v>2.6723441427019532</c:v>
                </c:pt>
                <c:pt idx="83">
                  <c:v>2.7480030384289531</c:v>
                </c:pt>
                <c:pt idx="84">
                  <c:v>2.8263953198730936</c:v>
                </c:pt>
                <c:pt idx="85">
                  <c:v>2.9075365369925508</c:v>
                </c:pt>
                <c:pt idx="86">
                  <c:v>2.9913251528826148</c:v>
                </c:pt>
                <c:pt idx="87">
                  <c:v>3.0775605421085097</c:v>
                </c:pt>
                <c:pt idx="88">
                  <c:v>3.1660958172929456</c:v>
                </c:pt>
                <c:pt idx="89">
                  <c:v>3.2570328475503874</c:v>
                </c:pt>
                <c:pt idx="90">
                  <c:v>3.3501003005249368</c:v>
                </c:pt>
                <c:pt idx="91">
                  <c:v>3.445333344446833</c:v>
                </c:pt>
                <c:pt idx="92">
                  <c:v>3.5427186090833289</c:v>
                </c:pt>
                <c:pt idx="93">
                  <c:v>3.6424913549566758</c:v>
                </c:pt>
                <c:pt idx="94">
                  <c:v>3.7450233326260873</c:v>
                </c:pt>
                <c:pt idx="95">
                  <c:v>3.8497351861708142</c:v>
                </c:pt>
                <c:pt idx="96">
                  <c:v>3.9571820454241555</c:v>
                </c:pt>
                <c:pt idx="97">
                  <c:v>4.0667390119463498</c:v>
                </c:pt>
                <c:pt idx="98">
                  <c:v>4.1788902588301395</c:v>
                </c:pt>
                <c:pt idx="99">
                  <c:v>4.2932118548101625</c:v>
                </c:pt>
                <c:pt idx="100">
                  <c:v>4.4099367315585241</c:v>
                </c:pt>
                <c:pt idx="101">
                  <c:v>4.5289104002294849</c:v>
                </c:pt>
                <c:pt idx="102">
                  <c:v>4.6500972698095833</c:v>
                </c:pt>
                <c:pt idx="103">
                  <c:v>4.7736307954240607</c:v>
                </c:pt>
                <c:pt idx="104">
                  <c:v>4.8991841357022281</c:v>
                </c:pt>
                <c:pt idx="105">
                  <c:v>5.0272019884554728</c:v>
                </c:pt>
                <c:pt idx="106">
                  <c:v>5.1570399067014279</c:v>
                </c:pt>
                <c:pt idx="107">
                  <c:v>5.2893285440982494</c:v>
                </c:pt>
                <c:pt idx="108">
                  <c:v>5.4235324367250879</c:v>
                </c:pt>
                <c:pt idx="109">
                  <c:v>5.5600011325897682</c:v>
                </c:pt>
                <c:pt idx="110">
                  <c:v>5.6985507025405902</c:v>
                </c:pt>
                <c:pt idx="111">
                  <c:v>5.8391429979560492</c:v>
                </c:pt>
                <c:pt idx="112">
                  <c:v>5.9820013684311899</c:v>
                </c:pt>
                <c:pt idx="113">
                  <c:v>6.1266686347444104</c:v>
                </c:pt>
                <c:pt idx="114">
                  <c:v>6.2736882819231443</c:v>
                </c:pt>
                <c:pt idx="115">
                  <c:v>6.4225062308072456</c:v>
                </c:pt>
                <c:pt idx="116">
                  <c:v>6.5735363734064727</c:v>
                </c:pt>
                <c:pt idx="117">
                  <c:v>6.7265954779700152</c:v>
                </c:pt>
                <c:pt idx="118">
                  <c:v>6.8816023981593926</c:v>
                </c:pt>
                <c:pt idx="119">
                  <c:v>7.0388857487687631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62E-004E-87CB-F134175B536D}"/>
            </c:ext>
          </c:extLst>
        </c:ser>
        <c:ser>
          <c:idx val="2"/>
          <c:order val="2"/>
          <c:tx>
            <c:v>Vbw2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Calculations!$A$18:$A$137</c:f>
              <c:numCache>
                <c:formatCode>General</c:formatCode>
                <c:ptCount val="120"/>
                <c:pt idx="0">
                  <c:v>0</c:v>
                </c:pt>
                <c:pt idx="1">
                  <c:v>1.680672268907563E-2</c:v>
                </c:pt>
                <c:pt idx="2">
                  <c:v>3.3613445378151259E-2</c:v>
                </c:pt>
                <c:pt idx="3">
                  <c:v>5.0420168067226892E-2</c:v>
                </c:pt>
                <c:pt idx="4">
                  <c:v>6.7226890756302518E-2</c:v>
                </c:pt>
                <c:pt idx="5">
                  <c:v>8.4033613445378144E-2</c:v>
                </c:pt>
                <c:pt idx="6">
                  <c:v>0.10084033613445377</c:v>
                </c:pt>
                <c:pt idx="7">
                  <c:v>0.1176470588235294</c:v>
                </c:pt>
                <c:pt idx="8">
                  <c:v>0.13445378151260504</c:v>
                </c:pt>
                <c:pt idx="9">
                  <c:v>0.15126050420168066</c:v>
                </c:pt>
                <c:pt idx="10">
                  <c:v>0.16806722689075629</c:v>
                </c:pt>
                <c:pt idx="11">
                  <c:v>0.18487394957983191</c:v>
                </c:pt>
                <c:pt idx="12">
                  <c:v>0.20168067226890754</c:v>
                </c:pt>
                <c:pt idx="13">
                  <c:v>0.21848739495798317</c:v>
                </c:pt>
                <c:pt idx="14">
                  <c:v>0.23529411764705879</c:v>
                </c:pt>
                <c:pt idx="15">
                  <c:v>0.25210084033613445</c:v>
                </c:pt>
                <c:pt idx="16">
                  <c:v>0.26890756302521007</c:v>
                </c:pt>
                <c:pt idx="17">
                  <c:v>0.2857142857142857</c:v>
                </c:pt>
                <c:pt idx="18">
                  <c:v>0.30252100840336132</c:v>
                </c:pt>
                <c:pt idx="19">
                  <c:v>0.31932773109243695</c:v>
                </c:pt>
                <c:pt idx="20">
                  <c:v>0.33613445378151258</c:v>
                </c:pt>
                <c:pt idx="21">
                  <c:v>0.3529411764705882</c:v>
                </c:pt>
                <c:pt idx="22">
                  <c:v>0.36974789915966383</c:v>
                </c:pt>
                <c:pt idx="23">
                  <c:v>0.38655462184873945</c:v>
                </c:pt>
                <c:pt idx="24">
                  <c:v>0.40336134453781508</c:v>
                </c:pt>
                <c:pt idx="25">
                  <c:v>0.42016806722689071</c:v>
                </c:pt>
                <c:pt idx="26">
                  <c:v>0.43697478991596633</c:v>
                </c:pt>
                <c:pt idx="27">
                  <c:v>0.45378151260504196</c:v>
                </c:pt>
                <c:pt idx="28">
                  <c:v>0.47058823529411759</c:v>
                </c:pt>
                <c:pt idx="29">
                  <c:v>0.48739495798319321</c:v>
                </c:pt>
                <c:pt idx="30">
                  <c:v>0.50420168067226889</c:v>
                </c:pt>
                <c:pt idx="31">
                  <c:v>0.52100840336134457</c:v>
                </c:pt>
                <c:pt idx="32">
                  <c:v>0.53781512605042026</c:v>
                </c:pt>
                <c:pt idx="33">
                  <c:v>0.55462184873949594</c:v>
                </c:pt>
                <c:pt idx="34">
                  <c:v>0.57142857142857162</c:v>
                </c:pt>
                <c:pt idx="35">
                  <c:v>0.5882352941176473</c:v>
                </c:pt>
                <c:pt idx="36">
                  <c:v>0.60504201680672298</c:v>
                </c:pt>
                <c:pt idx="37">
                  <c:v>0.62184873949579866</c:v>
                </c:pt>
                <c:pt idx="38">
                  <c:v>0.63865546218487435</c:v>
                </c:pt>
                <c:pt idx="39">
                  <c:v>0.65546218487395003</c:v>
                </c:pt>
                <c:pt idx="40">
                  <c:v>0.67226890756302571</c:v>
                </c:pt>
                <c:pt idx="41">
                  <c:v>0.68907563025210139</c:v>
                </c:pt>
                <c:pt idx="42">
                  <c:v>0.70588235294117707</c:v>
                </c:pt>
                <c:pt idx="43">
                  <c:v>0.72268907563025275</c:v>
                </c:pt>
                <c:pt idx="44">
                  <c:v>0.73949579831932843</c:v>
                </c:pt>
                <c:pt idx="45">
                  <c:v>0.75630252100840412</c:v>
                </c:pt>
                <c:pt idx="46">
                  <c:v>0.7731092436974798</c:v>
                </c:pt>
                <c:pt idx="47">
                  <c:v>0.78991596638655548</c:v>
                </c:pt>
                <c:pt idx="48">
                  <c:v>0.80672268907563116</c:v>
                </c:pt>
                <c:pt idx="49">
                  <c:v>0.82352941176470684</c:v>
                </c:pt>
                <c:pt idx="50">
                  <c:v>0.84033613445378252</c:v>
                </c:pt>
                <c:pt idx="51">
                  <c:v>0.85714285714285821</c:v>
                </c:pt>
                <c:pt idx="52">
                  <c:v>0.87394957983193389</c:v>
                </c:pt>
                <c:pt idx="53">
                  <c:v>0.89075630252100957</c:v>
                </c:pt>
                <c:pt idx="54">
                  <c:v>0.90756302521008525</c:v>
                </c:pt>
                <c:pt idx="55">
                  <c:v>0.92436974789916093</c:v>
                </c:pt>
                <c:pt idx="56">
                  <c:v>0.94117647058823661</c:v>
                </c:pt>
                <c:pt idx="57">
                  <c:v>0.95798319327731229</c:v>
                </c:pt>
                <c:pt idx="58">
                  <c:v>0.97478991596638798</c:v>
                </c:pt>
                <c:pt idx="59">
                  <c:v>0.99159663865546366</c:v>
                </c:pt>
                <c:pt idx="60">
                  <c:v>1.0084033613445393</c:v>
                </c:pt>
                <c:pt idx="61">
                  <c:v>1.0252100840336149</c:v>
                </c:pt>
                <c:pt idx="62">
                  <c:v>1.0420168067226905</c:v>
                </c:pt>
                <c:pt idx="63">
                  <c:v>1.0588235294117661</c:v>
                </c:pt>
                <c:pt idx="64">
                  <c:v>1.0756302521008416</c:v>
                </c:pt>
                <c:pt idx="65">
                  <c:v>1.0924369747899172</c:v>
                </c:pt>
                <c:pt idx="66">
                  <c:v>1.1092436974789928</c:v>
                </c:pt>
                <c:pt idx="67">
                  <c:v>1.1260504201680683</c:v>
                </c:pt>
                <c:pt idx="68">
                  <c:v>1.1428571428571439</c:v>
                </c:pt>
                <c:pt idx="69">
                  <c:v>1.1596638655462195</c:v>
                </c:pt>
                <c:pt idx="70">
                  <c:v>1.176470588235295</c:v>
                </c:pt>
                <c:pt idx="71">
                  <c:v>1.1932773109243706</c:v>
                </c:pt>
                <c:pt idx="72">
                  <c:v>1.2100840336134462</c:v>
                </c:pt>
                <c:pt idx="73">
                  <c:v>1.2268907563025218</c:v>
                </c:pt>
                <c:pt idx="74">
                  <c:v>1.2436974789915973</c:v>
                </c:pt>
                <c:pt idx="75">
                  <c:v>1.2605042016806729</c:v>
                </c:pt>
                <c:pt idx="76">
                  <c:v>1.2773109243697485</c:v>
                </c:pt>
                <c:pt idx="77">
                  <c:v>1.294117647058824</c:v>
                </c:pt>
                <c:pt idx="78">
                  <c:v>1.3109243697478996</c:v>
                </c:pt>
                <c:pt idx="79">
                  <c:v>1.3277310924369752</c:v>
                </c:pt>
                <c:pt idx="80">
                  <c:v>1.3445378151260508</c:v>
                </c:pt>
                <c:pt idx="81">
                  <c:v>1.3613445378151263</c:v>
                </c:pt>
                <c:pt idx="82">
                  <c:v>1.3781512605042019</c:v>
                </c:pt>
                <c:pt idx="83">
                  <c:v>1.3949579831932775</c:v>
                </c:pt>
                <c:pt idx="84">
                  <c:v>1.411764705882353</c:v>
                </c:pt>
                <c:pt idx="85">
                  <c:v>1.4285714285714286</c:v>
                </c:pt>
                <c:pt idx="86">
                  <c:v>1.4453781512605042</c:v>
                </c:pt>
                <c:pt idx="87">
                  <c:v>1.4621848739495797</c:v>
                </c:pt>
                <c:pt idx="88">
                  <c:v>1.4789915966386553</c:v>
                </c:pt>
                <c:pt idx="89">
                  <c:v>1.4957983193277309</c:v>
                </c:pt>
                <c:pt idx="90">
                  <c:v>1.5126050420168065</c:v>
                </c:pt>
                <c:pt idx="91">
                  <c:v>1.529411764705882</c:v>
                </c:pt>
                <c:pt idx="92">
                  <c:v>1.5462184873949576</c:v>
                </c:pt>
                <c:pt idx="93">
                  <c:v>1.5630252100840332</c:v>
                </c:pt>
                <c:pt idx="94">
                  <c:v>1.5798319327731087</c:v>
                </c:pt>
                <c:pt idx="95">
                  <c:v>1.5966386554621843</c:v>
                </c:pt>
                <c:pt idx="96">
                  <c:v>1.6134453781512599</c:v>
                </c:pt>
                <c:pt idx="97">
                  <c:v>1.6302521008403354</c:v>
                </c:pt>
                <c:pt idx="98">
                  <c:v>1.647058823529411</c:v>
                </c:pt>
                <c:pt idx="99">
                  <c:v>1.6638655462184866</c:v>
                </c:pt>
                <c:pt idx="100">
                  <c:v>1.6806722689075622</c:v>
                </c:pt>
                <c:pt idx="101">
                  <c:v>1.6974789915966377</c:v>
                </c:pt>
                <c:pt idx="102">
                  <c:v>1.7142857142857133</c:v>
                </c:pt>
                <c:pt idx="103">
                  <c:v>1.7310924369747889</c:v>
                </c:pt>
                <c:pt idx="104">
                  <c:v>1.7478991596638644</c:v>
                </c:pt>
                <c:pt idx="105">
                  <c:v>1.76470588235294</c:v>
                </c:pt>
                <c:pt idx="106">
                  <c:v>1.7815126050420156</c:v>
                </c:pt>
                <c:pt idx="107">
                  <c:v>1.7983193277310912</c:v>
                </c:pt>
                <c:pt idx="108">
                  <c:v>1.8151260504201667</c:v>
                </c:pt>
                <c:pt idx="109">
                  <c:v>1.8319327731092423</c:v>
                </c:pt>
                <c:pt idx="110">
                  <c:v>1.8487394957983179</c:v>
                </c:pt>
                <c:pt idx="111">
                  <c:v>1.8655462184873934</c:v>
                </c:pt>
                <c:pt idx="112">
                  <c:v>1.882352941176469</c:v>
                </c:pt>
                <c:pt idx="113">
                  <c:v>1.8991596638655446</c:v>
                </c:pt>
                <c:pt idx="114">
                  <c:v>1.9159663865546201</c:v>
                </c:pt>
                <c:pt idx="115">
                  <c:v>1.9327731092436957</c:v>
                </c:pt>
                <c:pt idx="116">
                  <c:v>1.9495798319327713</c:v>
                </c:pt>
                <c:pt idx="117">
                  <c:v>1.9663865546218469</c:v>
                </c:pt>
                <c:pt idx="118">
                  <c:v>1.9831932773109224</c:v>
                </c:pt>
                <c:pt idx="119">
                  <c:v>1.999999999999998</c:v>
                </c:pt>
              </c:numCache>
            </c:numRef>
          </c:xVal>
          <c:yVal>
            <c:numRef>
              <c:f>Calculations!$M$18:$M$137</c:f>
              <c:numCache>
                <c:formatCode>General</c:formatCode>
                <c:ptCount val="120"/>
                <c:pt idx="0">
                  <c:v>0</c:v>
                </c:pt>
                <c:pt idx="1">
                  <c:v>1.7843875494922494E-2</c:v>
                </c:pt>
                <c:pt idx="2">
                  <c:v>5.0638526733994799E-2</c:v>
                </c:pt>
                <c:pt idx="3">
                  <c:v>7.3988401288165986E-2</c:v>
                </c:pt>
                <c:pt idx="4">
                  <c:v>0.10174251933226086</c:v>
                </c:pt>
                <c:pt idx="5">
                  <c:v>0.12621101709053359</c:v>
                </c:pt>
                <c:pt idx="6">
                  <c:v>0.15331715982553221</c:v>
                </c:pt>
                <c:pt idx="7">
                  <c:v>0.17840929967279739</c:v>
                </c:pt>
                <c:pt idx="8">
                  <c:v>0.20536345662422814</c:v>
                </c:pt>
                <c:pt idx="9">
                  <c:v>0.23091782739769351</c:v>
                </c:pt>
                <c:pt idx="10">
                  <c:v>0.25788207586408979</c:v>
                </c:pt>
                <c:pt idx="11">
                  <c:v>0.28382616719170878</c:v>
                </c:pt>
                <c:pt idx="12">
                  <c:v>0.31087360482877213</c:v>
                </c:pt>
                <c:pt idx="13">
                  <c:v>0.33716882208778898</c:v>
                </c:pt>
                <c:pt idx="14">
                  <c:v>0.36433860459801287</c:v>
                </c:pt>
                <c:pt idx="15">
                  <c:v>0.39096211724017582</c:v>
                </c:pt>
                <c:pt idx="16">
                  <c:v>0.41827762545591074</c:v>
                </c:pt>
                <c:pt idx="17">
                  <c:v>0.44521492862063972</c:v>
                </c:pt>
                <c:pt idx="18">
                  <c:v>0.47269121245819307</c:v>
                </c:pt>
                <c:pt idx="19">
                  <c:v>0.49993261328792177</c:v>
                </c:pt>
                <c:pt idx="20">
                  <c:v>0.52757990771114216</c:v>
                </c:pt>
                <c:pt idx="21">
                  <c:v>0.55511868807885711</c:v>
                </c:pt>
                <c:pt idx="22">
                  <c:v>0.58294425136518513</c:v>
                </c:pt>
                <c:pt idx="23">
                  <c:v>0.61077563064225915</c:v>
                </c:pt>
                <c:pt idx="24">
                  <c:v>0.63878478204679401</c:v>
                </c:pt>
                <c:pt idx="25">
                  <c:v>0.66690529527940612</c:v>
                </c:pt>
                <c:pt idx="26">
                  <c:v>0.69510203702425077</c:v>
                </c:pt>
                <c:pt idx="27">
                  <c:v>0.72350914364906904</c:v>
                </c:pt>
                <c:pt idx="28">
                  <c:v>0.75189655223990548</c:v>
                </c:pt>
                <c:pt idx="29">
                  <c:v>0.78058837983807583</c:v>
                </c:pt>
                <c:pt idx="30">
                  <c:v>0.80916886227304274</c:v>
                </c:pt>
                <c:pt idx="31">
                  <c:v>0.8381440330406853</c:v>
                </c:pt>
                <c:pt idx="32">
                  <c:v>0.86691950026626297</c:v>
                </c:pt>
                <c:pt idx="33">
                  <c:v>0.89617701009879569</c:v>
                </c:pt>
                <c:pt idx="34">
                  <c:v>0.92514899783309668</c:v>
                </c:pt>
                <c:pt idx="35">
                  <c:v>0.95464499413216652</c:v>
                </c:pt>
                <c:pt idx="36">
                  <c:v>0.98385788495677107</c:v>
                </c:pt>
                <c:pt idx="37">
                  <c:v>1.0135361214719421</c:v>
                </c:pt>
                <c:pt idx="38">
                  <c:v>1.043046689885835</c:v>
                </c:pt>
                <c:pt idx="39">
                  <c:v>1.0729096106705738</c:v>
                </c:pt>
                <c:pt idx="40">
                  <c:v>1.1027159390300136</c:v>
                </c:pt>
                <c:pt idx="41">
                  <c:v>1.1327656244234352</c:v>
                </c:pt>
                <c:pt idx="42">
                  <c:v>1.162866156858271</c:v>
                </c:pt>
                <c:pt idx="43">
                  <c:v>1.1931043889399522</c:v>
                </c:pt>
                <c:pt idx="44">
                  <c:v>1.2234978658002835</c:v>
                </c:pt>
                <c:pt idx="45">
                  <c:v>1.2539261797918781</c:v>
                </c:pt>
                <c:pt idx="46">
                  <c:v>1.2846115861519878</c:v>
                </c:pt>
                <c:pt idx="47">
                  <c:v>1.315231311234853</c:v>
                </c:pt>
                <c:pt idx="48">
                  <c:v>1.346207835985592</c:v>
                </c:pt>
                <c:pt idx="49">
                  <c:v>1.3770201280440386</c:v>
                </c:pt>
                <c:pt idx="50">
                  <c:v>1.4082434368699495</c:v>
                </c:pt>
                <c:pt idx="51">
                  <c:v>1.4392929991962669</c:v>
                </c:pt>
                <c:pt idx="52">
                  <c:v>1.4707032200400587</c:v>
                </c:pt>
                <c:pt idx="53">
                  <c:v>1.5020503129266174</c:v>
                </c:pt>
                <c:pt idx="54">
                  <c:v>1.5336487384479756</c:v>
                </c:pt>
                <c:pt idx="55">
                  <c:v>1.5652924728207049</c:v>
                </c:pt>
                <c:pt idx="56">
                  <c:v>1.5970802533728539</c:v>
                </c:pt>
                <c:pt idx="57">
                  <c:v>1.6290198946963197</c:v>
                </c:pt>
                <c:pt idx="58">
                  <c:v>1.6609980568262979</c:v>
                </c:pt>
                <c:pt idx="59">
                  <c:v>1.6932330040930814</c:v>
                </c:pt>
                <c:pt idx="60">
                  <c:v>1.7254377987795728</c:v>
                </c:pt>
                <c:pt idx="61">
                  <c:v>1.7582500853790084</c:v>
                </c:pt>
                <c:pt idx="62">
                  <c:v>1.7911788375343289</c:v>
                </c:pt>
                <c:pt idx="63">
                  <c:v>1.8247342040811609</c:v>
                </c:pt>
                <c:pt idx="64">
                  <c:v>1.8585454524129719</c:v>
                </c:pt>
                <c:pt idx="65">
                  <c:v>1.8928381515809327</c:v>
                </c:pt>
                <c:pt idx="66">
                  <c:v>1.9275445886747054</c:v>
                </c:pt>
                <c:pt idx="67">
                  <c:v>1.9625694126479301</c:v>
                </c:pt>
                <c:pt idx="68">
                  <c:v>1.9981829216432894</c:v>
                </c:pt>
                <c:pt idx="69">
                  <c:v>2.0339354962761447</c:v>
                </c:pt>
                <c:pt idx="70">
                  <c:v>2.0702677596205636</c:v>
                </c:pt>
                <c:pt idx="71">
                  <c:v>2.106943960105236</c:v>
                </c:pt>
                <c:pt idx="72">
                  <c:v>2.132053875168733</c:v>
                </c:pt>
                <c:pt idx="73">
                  <c:v>2.1602428550247041</c:v>
                </c:pt>
                <c:pt idx="74">
                  <c:v>2.1971035603725828</c:v>
                </c:pt>
                <c:pt idx="75">
                  <c:v>2.2406658237913515</c:v>
                </c:pt>
                <c:pt idx="76">
                  <c:v>2.2896558452035847</c:v>
                </c:pt>
                <c:pt idx="77">
                  <c:v>2.3435871989815205</c:v>
                </c:pt>
                <c:pt idx="78">
                  <c:v>2.4019210931801296</c:v>
                </c:pt>
                <c:pt idx="79">
                  <c:v>2.464251396803967</c:v>
                </c:pt>
                <c:pt idx="80">
                  <c:v>2.5302606389060696</c:v>
                </c:pt>
                <c:pt idx="81">
                  <c:v>2.59969423215232</c:v>
                </c:pt>
                <c:pt idx="82">
                  <c:v>2.6723441427019532</c:v>
                </c:pt>
                <c:pt idx="83">
                  <c:v>2.7480030384289531</c:v>
                </c:pt>
                <c:pt idx="84">
                  <c:v>2.8263953198730936</c:v>
                </c:pt>
                <c:pt idx="85">
                  <c:v>2.9075365369925508</c:v>
                </c:pt>
                <c:pt idx="86">
                  <c:v>2.9913251528826148</c:v>
                </c:pt>
                <c:pt idx="87">
                  <c:v>3.0775605421085097</c:v>
                </c:pt>
                <c:pt idx="88">
                  <c:v>3.1660958172929456</c:v>
                </c:pt>
                <c:pt idx="89">
                  <c:v>3.2570328475503874</c:v>
                </c:pt>
                <c:pt idx="90">
                  <c:v>3.3501003005249368</c:v>
                </c:pt>
                <c:pt idx="91">
                  <c:v>3.445333344446833</c:v>
                </c:pt>
                <c:pt idx="92">
                  <c:v>3.5427186090833289</c:v>
                </c:pt>
                <c:pt idx="93">
                  <c:v>3.6424913549566758</c:v>
                </c:pt>
                <c:pt idx="94">
                  <c:v>3.7450233326260873</c:v>
                </c:pt>
                <c:pt idx="95">
                  <c:v>3.8497351861708142</c:v>
                </c:pt>
                <c:pt idx="96">
                  <c:v>3.9571820454241555</c:v>
                </c:pt>
                <c:pt idx="97">
                  <c:v>4.0667390119463498</c:v>
                </c:pt>
                <c:pt idx="98">
                  <c:v>4.1788902588301395</c:v>
                </c:pt>
                <c:pt idx="99">
                  <c:v>4.2932118548101625</c:v>
                </c:pt>
                <c:pt idx="100">
                  <c:v>4.4099367315585241</c:v>
                </c:pt>
                <c:pt idx="101">
                  <c:v>4.5289104002294849</c:v>
                </c:pt>
                <c:pt idx="102">
                  <c:v>4.6500972698095833</c:v>
                </c:pt>
                <c:pt idx="103">
                  <c:v>4.7736307954240607</c:v>
                </c:pt>
                <c:pt idx="104">
                  <c:v>4.8991841357022281</c:v>
                </c:pt>
                <c:pt idx="105">
                  <c:v>5.0272019884554728</c:v>
                </c:pt>
                <c:pt idx="106">
                  <c:v>5.1570399067014279</c:v>
                </c:pt>
                <c:pt idx="107">
                  <c:v>5.2893285440982494</c:v>
                </c:pt>
                <c:pt idx="108">
                  <c:v>5.4235324367250879</c:v>
                </c:pt>
                <c:pt idx="109">
                  <c:v>5.5600011325897682</c:v>
                </c:pt>
                <c:pt idx="110">
                  <c:v>5.6985507025405902</c:v>
                </c:pt>
                <c:pt idx="111">
                  <c:v>5.8391429979560492</c:v>
                </c:pt>
                <c:pt idx="112">
                  <c:v>5.9820013684311899</c:v>
                </c:pt>
                <c:pt idx="113">
                  <c:v>6.1266686347444104</c:v>
                </c:pt>
                <c:pt idx="114">
                  <c:v>6.2736882819231443</c:v>
                </c:pt>
                <c:pt idx="115">
                  <c:v>6.4225062308072456</c:v>
                </c:pt>
                <c:pt idx="116">
                  <c:v>6.5735363734064727</c:v>
                </c:pt>
                <c:pt idx="117">
                  <c:v>6.7265954779700152</c:v>
                </c:pt>
                <c:pt idx="118">
                  <c:v>6.8816023981593926</c:v>
                </c:pt>
                <c:pt idx="119">
                  <c:v>7.0388857487687631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362E-004E-87CB-F134175B536D}"/>
            </c:ext>
          </c:extLst>
        </c:ser>
        <c:ser>
          <c:idx val="3"/>
          <c:order val="3"/>
          <c:tx>
            <c:v>Vbw3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Calculations!$A$18:$A$137</c:f>
              <c:numCache>
                <c:formatCode>General</c:formatCode>
                <c:ptCount val="120"/>
                <c:pt idx="0">
                  <c:v>0</c:v>
                </c:pt>
                <c:pt idx="1">
                  <c:v>1.680672268907563E-2</c:v>
                </c:pt>
                <c:pt idx="2">
                  <c:v>3.3613445378151259E-2</c:v>
                </c:pt>
                <c:pt idx="3">
                  <c:v>5.0420168067226892E-2</c:v>
                </c:pt>
                <c:pt idx="4">
                  <c:v>6.7226890756302518E-2</c:v>
                </c:pt>
                <c:pt idx="5">
                  <c:v>8.4033613445378144E-2</c:v>
                </c:pt>
                <c:pt idx="6">
                  <c:v>0.10084033613445377</c:v>
                </c:pt>
                <c:pt idx="7">
                  <c:v>0.1176470588235294</c:v>
                </c:pt>
                <c:pt idx="8">
                  <c:v>0.13445378151260504</c:v>
                </c:pt>
                <c:pt idx="9">
                  <c:v>0.15126050420168066</c:v>
                </c:pt>
                <c:pt idx="10">
                  <c:v>0.16806722689075629</c:v>
                </c:pt>
                <c:pt idx="11">
                  <c:v>0.18487394957983191</c:v>
                </c:pt>
                <c:pt idx="12">
                  <c:v>0.20168067226890754</c:v>
                </c:pt>
                <c:pt idx="13">
                  <c:v>0.21848739495798317</c:v>
                </c:pt>
                <c:pt idx="14">
                  <c:v>0.23529411764705879</c:v>
                </c:pt>
                <c:pt idx="15">
                  <c:v>0.25210084033613445</c:v>
                </c:pt>
                <c:pt idx="16">
                  <c:v>0.26890756302521007</c:v>
                </c:pt>
                <c:pt idx="17">
                  <c:v>0.2857142857142857</c:v>
                </c:pt>
                <c:pt idx="18">
                  <c:v>0.30252100840336132</c:v>
                </c:pt>
                <c:pt idx="19">
                  <c:v>0.31932773109243695</c:v>
                </c:pt>
                <c:pt idx="20">
                  <c:v>0.33613445378151258</c:v>
                </c:pt>
                <c:pt idx="21">
                  <c:v>0.3529411764705882</c:v>
                </c:pt>
                <c:pt idx="22">
                  <c:v>0.36974789915966383</c:v>
                </c:pt>
                <c:pt idx="23">
                  <c:v>0.38655462184873945</c:v>
                </c:pt>
                <c:pt idx="24">
                  <c:v>0.40336134453781508</c:v>
                </c:pt>
                <c:pt idx="25">
                  <c:v>0.42016806722689071</c:v>
                </c:pt>
                <c:pt idx="26">
                  <c:v>0.43697478991596633</c:v>
                </c:pt>
                <c:pt idx="27">
                  <c:v>0.45378151260504196</c:v>
                </c:pt>
                <c:pt idx="28">
                  <c:v>0.47058823529411759</c:v>
                </c:pt>
                <c:pt idx="29">
                  <c:v>0.48739495798319321</c:v>
                </c:pt>
                <c:pt idx="30">
                  <c:v>0.50420168067226889</c:v>
                </c:pt>
                <c:pt idx="31">
                  <c:v>0.52100840336134457</c:v>
                </c:pt>
                <c:pt idx="32">
                  <c:v>0.53781512605042026</c:v>
                </c:pt>
                <c:pt idx="33">
                  <c:v>0.55462184873949594</c:v>
                </c:pt>
                <c:pt idx="34">
                  <c:v>0.57142857142857162</c:v>
                </c:pt>
                <c:pt idx="35">
                  <c:v>0.5882352941176473</c:v>
                </c:pt>
                <c:pt idx="36">
                  <c:v>0.60504201680672298</c:v>
                </c:pt>
                <c:pt idx="37">
                  <c:v>0.62184873949579866</c:v>
                </c:pt>
                <c:pt idx="38">
                  <c:v>0.63865546218487435</c:v>
                </c:pt>
                <c:pt idx="39">
                  <c:v>0.65546218487395003</c:v>
                </c:pt>
                <c:pt idx="40">
                  <c:v>0.67226890756302571</c:v>
                </c:pt>
                <c:pt idx="41">
                  <c:v>0.68907563025210139</c:v>
                </c:pt>
                <c:pt idx="42">
                  <c:v>0.70588235294117707</c:v>
                </c:pt>
                <c:pt idx="43">
                  <c:v>0.72268907563025275</c:v>
                </c:pt>
                <c:pt idx="44">
                  <c:v>0.73949579831932843</c:v>
                </c:pt>
                <c:pt idx="45">
                  <c:v>0.75630252100840412</c:v>
                </c:pt>
                <c:pt idx="46">
                  <c:v>0.7731092436974798</c:v>
                </c:pt>
                <c:pt idx="47">
                  <c:v>0.78991596638655548</c:v>
                </c:pt>
                <c:pt idx="48">
                  <c:v>0.80672268907563116</c:v>
                </c:pt>
                <c:pt idx="49">
                  <c:v>0.82352941176470684</c:v>
                </c:pt>
                <c:pt idx="50">
                  <c:v>0.84033613445378252</c:v>
                </c:pt>
                <c:pt idx="51">
                  <c:v>0.85714285714285821</c:v>
                </c:pt>
                <c:pt idx="52">
                  <c:v>0.87394957983193389</c:v>
                </c:pt>
                <c:pt idx="53">
                  <c:v>0.89075630252100957</c:v>
                </c:pt>
                <c:pt idx="54">
                  <c:v>0.90756302521008525</c:v>
                </c:pt>
                <c:pt idx="55">
                  <c:v>0.92436974789916093</c:v>
                </c:pt>
                <c:pt idx="56">
                  <c:v>0.94117647058823661</c:v>
                </c:pt>
                <c:pt idx="57">
                  <c:v>0.95798319327731229</c:v>
                </c:pt>
                <c:pt idx="58">
                  <c:v>0.97478991596638798</c:v>
                </c:pt>
                <c:pt idx="59">
                  <c:v>0.99159663865546366</c:v>
                </c:pt>
                <c:pt idx="60">
                  <c:v>1.0084033613445393</c:v>
                </c:pt>
                <c:pt idx="61">
                  <c:v>1.0252100840336149</c:v>
                </c:pt>
                <c:pt idx="62">
                  <c:v>1.0420168067226905</c:v>
                </c:pt>
                <c:pt idx="63">
                  <c:v>1.0588235294117661</c:v>
                </c:pt>
                <c:pt idx="64">
                  <c:v>1.0756302521008416</c:v>
                </c:pt>
                <c:pt idx="65">
                  <c:v>1.0924369747899172</c:v>
                </c:pt>
                <c:pt idx="66">
                  <c:v>1.1092436974789928</c:v>
                </c:pt>
                <c:pt idx="67">
                  <c:v>1.1260504201680683</c:v>
                </c:pt>
                <c:pt idx="68">
                  <c:v>1.1428571428571439</c:v>
                </c:pt>
                <c:pt idx="69">
                  <c:v>1.1596638655462195</c:v>
                </c:pt>
                <c:pt idx="70">
                  <c:v>1.176470588235295</c:v>
                </c:pt>
                <c:pt idx="71">
                  <c:v>1.1932773109243706</c:v>
                </c:pt>
                <c:pt idx="72">
                  <c:v>1.2100840336134462</c:v>
                </c:pt>
                <c:pt idx="73">
                  <c:v>1.2268907563025218</c:v>
                </c:pt>
                <c:pt idx="74">
                  <c:v>1.2436974789915973</c:v>
                </c:pt>
                <c:pt idx="75">
                  <c:v>1.2605042016806729</c:v>
                </c:pt>
                <c:pt idx="76">
                  <c:v>1.2773109243697485</c:v>
                </c:pt>
                <c:pt idx="77">
                  <c:v>1.294117647058824</c:v>
                </c:pt>
                <c:pt idx="78">
                  <c:v>1.3109243697478996</c:v>
                </c:pt>
                <c:pt idx="79">
                  <c:v>1.3277310924369752</c:v>
                </c:pt>
                <c:pt idx="80">
                  <c:v>1.3445378151260508</c:v>
                </c:pt>
                <c:pt idx="81">
                  <c:v>1.3613445378151263</c:v>
                </c:pt>
                <c:pt idx="82">
                  <c:v>1.3781512605042019</c:v>
                </c:pt>
                <c:pt idx="83">
                  <c:v>1.3949579831932775</c:v>
                </c:pt>
                <c:pt idx="84">
                  <c:v>1.411764705882353</c:v>
                </c:pt>
                <c:pt idx="85">
                  <c:v>1.4285714285714286</c:v>
                </c:pt>
                <c:pt idx="86">
                  <c:v>1.4453781512605042</c:v>
                </c:pt>
                <c:pt idx="87">
                  <c:v>1.4621848739495797</c:v>
                </c:pt>
                <c:pt idx="88">
                  <c:v>1.4789915966386553</c:v>
                </c:pt>
                <c:pt idx="89">
                  <c:v>1.4957983193277309</c:v>
                </c:pt>
                <c:pt idx="90">
                  <c:v>1.5126050420168065</c:v>
                </c:pt>
                <c:pt idx="91">
                  <c:v>1.529411764705882</c:v>
                </c:pt>
                <c:pt idx="92">
                  <c:v>1.5462184873949576</c:v>
                </c:pt>
                <c:pt idx="93">
                  <c:v>1.5630252100840332</c:v>
                </c:pt>
                <c:pt idx="94">
                  <c:v>1.5798319327731087</c:v>
                </c:pt>
                <c:pt idx="95">
                  <c:v>1.5966386554621843</c:v>
                </c:pt>
                <c:pt idx="96">
                  <c:v>1.6134453781512599</c:v>
                </c:pt>
                <c:pt idx="97">
                  <c:v>1.6302521008403354</c:v>
                </c:pt>
                <c:pt idx="98">
                  <c:v>1.647058823529411</c:v>
                </c:pt>
                <c:pt idx="99">
                  <c:v>1.6638655462184866</c:v>
                </c:pt>
                <c:pt idx="100">
                  <c:v>1.6806722689075622</c:v>
                </c:pt>
                <c:pt idx="101">
                  <c:v>1.6974789915966377</c:v>
                </c:pt>
                <c:pt idx="102">
                  <c:v>1.7142857142857133</c:v>
                </c:pt>
                <c:pt idx="103">
                  <c:v>1.7310924369747889</c:v>
                </c:pt>
                <c:pt idx="104">
                  <c:v>1.7478991596638644</c:v>
                </c:pt>
                <c:pt idx="105">
                  <c:v>1.76470588235294</c:v>
                </c:pt>
                <c:pt idx="106">
                  <c:v>1.7815126050420156</c:v>
                </c:pt>
                <c:pt idx="107">
                  <c:v>1.7983193277310912</c:v>
                </c:pt>
                <c:pt idx="108">
                  <c:v>1.8151260504201667</c:v>
                </c:pt>
                <c:pt idx="109">
                  <c:v>1.8319327731092423</c:v>
                </c:pt>
                <c:pt idx="110">
                  <c:v>1.8487394957983179</c:v>
                </c:pt>
                <c:pt idx="111">
                  <c:v>1.8655462184873934</c:v>
                </c:pt>
                <c:pt idx="112">
                  <c:v>1.882352941176469</c:v>
                </c:pt>
                <c:pt idx="113">
                  <c:v>1.8991596638655446</c:v>
                </c:pt>
                <c:pt idx="114">
                  <c:v>1.9159663865546201</c:v>
                </c:pt>
                <c:pt idx="115">
                  <c:v>1.9327731092436957</c:v>
                </c:pt>
                <c:pt idx="116">
                  <c:v>1.9495798319327713</c:v>
                </c:pt>
                <c:pt idx="117">
                  <c:v>1.9663865546218469</c:v>
                </c:pt>
                <c:pt idx="118">
                  <c:v>1.9831932773109224</c:v>
                </c:pt>
                <c:pt idx="119">
                  <c:v>1.999999999999998</c:v>
                </c:pt>
              </c:numCache>
            </c:numRef>
          </c:xVal>
          <c:yVal>
            <c:numRef>
              <c:f>Calculations!$O$18:$O$137</c:f>
              <c:numCache>
                <c:formatCode>General</c:formatCode>
                <c:ptCount val="120"/>
                <c:pt idx="0">
                  <c:v>0</c:v>
                </c:pt>
                <c:pt idx="1">
                  <c:v>5.3032296139532082E-5</c:v>
                </c:pt>
                <c:pt idx="2">
                  <c:v>4.265785496645882E-4</c:v>
                </c:pt>
                <c:pt idx="3">
                  <c:v>9.0989567082220234E-4</c:v>
                </c:pt>
                <c:pt idx="4">
                  <c:v>1.7188100283800048E-3</c:v>
                </c:pt>
                <c:pt idx="5">
                  <c:v>2.6425887199304577E-3</c:v>
                </c:pt>
                <c:pt idx="6">
                  <c:v>3.8957251224149129E-3</c:v>
                </c:pt>
                <c:pt idx="7">
                  <c:v>5.2704367772327416E-3</c:v>
                </c:pt>
                <c:pt idx="8">
                  <c:v>6.976456354135227E-3</c:v>
                </c:pt>
                <c:pt idx="9">
                  <c:v>8.8125923601732395E-3</c:v>
                </c:pt>
                <c:pt idx="10">
                  <c:v>1.0980208753915146E-2</c:v>
                </c:pt>
                <c:pt idx="11">
                  <c:v>1.3288314731915286E-2</c:v>
                </c:pt>
                <c:pt idx="12">
                  <c:v>1.5926257075612668E-2</c:v>
                </c:pt>
                <c:pt idx="13">
                  <c:v>1.8716938336613222E-2</c:v>
                </c:pt>
                <c:pt idx="14">
                  <c:v>2.1833944793117527E-2</c:v>
                </c:pt>
                <c:pt idx="15">
                  <c:v>2.5117867469282983E-2</c:v>
                </c:pt>
                <c:pt idx="16">
                  <c:v>2.8722683415041521E-2</c:v>
                </c:pt>
                <c:pt idx="17">
                  <c:v>3.2510574561166135E-2</c:v>
                </c:pt>
                <c:pt idx="18">
                  <c:v>3.6611951880430135E-2</c:v>
                </c:pt>
                <c:pt idx="19">
                  <c:v>4.0914599254627128E-2</c:v>
                </c:pt>
                <c:pt idx="20">
                  <c:v>4.5521295978418627E-2</c:v>
                </c:pt>
                <c:pt idx="21">
                  <c:v>5.0349547702802672E-2</c:v>
                </c:pt>
                <c:pt idx="22">
                  <c:v>5.5470327774639318E-2</c:v>
                </c:pt>
                <c:pt idx="23">
                  <c:v>6.0835091944681632E-2</c:v>
                </c:pt>
                <c:pt idx="24">
                  <c:v>6.6478725038492101E-2</c:v>
                </c:pt>
                <c:pt idx="25">
                  <c:v>7.239096930803425E-2</c:v>
                </c:pt>
                <c:pt idx="26">
                  <c:v>7.8566230669181808E-2</c:v>
                </c:pt>
                <c:pt idx="27">
                  <c:v>8.5036981822934538E-2</c:v>
                </c:pt>
                <c:pt idx="28">
                  <c:v>9.1752652119857184E-2</c:v>
                </c:pt>
                <c:pt idx="29">
                  <c:v>9.8792995639064435E-2</c:v>
                </c:pt>
                <c:pt idx="30">
                  <c:v>0.10605786081977635</c:v>
                </c:pt>
                <c:pt idx="31">
                  <c:v>0.11367894044400047</c:v>
                </c:pt>
                <c:pt idx="32">
                  <c:v>0.12150179159467878</c:v>
                </c:pt>
                <c:pt idx="33">
                  <c:v>0.1297148088813676</c:v>
                </c:pt>
                <c:pt idx="34">
                  <c:v>0.13810444208565495</c:v>
                </c:pt>
                <c:pt idx="35">
                  <c:v>0.14690758891638939</c:v>
                </c:pt>
                <c:pt idx="36">
                  <c:v>0.1558858721668539</c:v>
                </c:pt>
                <c:pt idx="37">
                  <c:v>0.16527104738678988</c:v>
                </c:pt>
                <c:pt idx="38">
                  <c:v>0.17486620336237896</c:v>
                </c:pt>
                <c:pt idx="39">
                  <c:v>0.18484218171038425</c:v>
                </c:pt>
                <c:pt idx="40">
                  <c:v>0.19506561826272731</c:v>
                </c:pt>
                <c:pt idx="41">
                  <c:v>0.20564118397351286</c:v>
                </c:pt>
                <c:pt idx="42">
                  <c:v>0.2165043599411125</c:v>
                </c:pt>
                <c:pt idx="43">
                  <c:v>0.22768830573315757</c:v>
                </c:pt>
                <c:pt idx="44">
                  <c:v>0.23920273137000589</c:v>
                </c:pt>
                <c:pt idx="45">
                  <c:v>0.25100385761788174</c:v>
                </c:pt>
                <c:pt idx="46">
                  <c:v>0.26318109483820668</c:v>
                </c:pt>
                <c:pt idx="47">
                  <c:v>0.27560820888424392</c:v>
                </c:pt>
                <c:pt idx="48">
                  <c:v>0.28845987136874546</c:v>
                </c:pt>
                <c:pt idx="49">
                  <c:v>0.30152178694137843</c:v>
                </c:pt>
                <c:pt idx="50">
                  <c:v>0.31504042313780645</c:v>
                </c:pt>
                <c:pt idx="51">
                  <c:v>0.32876507685269207</c:v>
                </c:pt>
                <c:pt idx="52">
                  <c:v>0.34293376377993584</c:v>
                </c:pt>
                <c:pt idx="53">
                  <c:v>0.35735862082107228</c:v>
                </c:pt>
                <c:pt idx="54">
                  <c:v>0.37218616640236735</c:v>
                </c:pt>
                <c:pt idx="55">
                  <c:v>0.38732301766228472</c:v>
                </c:pt>
                <c:pt idx="56">
                  <c:v>0.40281823699283253</c:v>
                </c:pt>
                <c:pt idx="57">
                  <c:v>0.41867892226999698</c:v>
                </c:pt>
                <c:pt idx="58">
                  <c:v>0.43485063701398913</c:v>
                </c:pt>
                <c:pt idx="59">
                  <c:v>0.45144704507504002</c:v>
                </c:pt>
                <c:pt idx="60">
                  <c:v>0.46832275887684061</c:v>
                </c:pt>
                <c:pt idx="61">
                  <c:v>0.48581909874070067</c:v>
                </c:pt>
                <c:pt idx="62">
                  <c:v>0.50368348346286096</c:v>
                </c:pt>
                <c:pt idx="63">
                  <c:v>0.52220227455670598</c:v>
                </c:pt>
                <c:pt idx="64">
                  <c:v>0.54118249566398124</c:v>
                </c:pt>
                <c:pt idx="65">
                  <c:v>0.56076043342301485</c:v>
                </c:pt>
                <c:pt idx="66">
                  <c:v>0.58090943290005892</c:v>
                </c:pt>
                <c:pt idx="67">
                  <c:v>0.60158386449476853</c:v>
                </c:pt>
                <c:pt idx="68">
                  <c:v>0.62295565078906912</c:v>
                </c:pt>
                <c:pt idx="69">
                  <c:v>0.64476477204322602</c:v>
                </c:pt>
                <c:pt idx="70">
                  <c:v>0.66728974587228262</c:v>
                </c:pt>
                <c:pt idx="71">
                  <c:v>0.69039728394557998</c:v>
                </c:pt>
                <c:pt idx="72">
                  <c:v>0.70643103996692158</c:v>
                </c:pt>
                <c:pt idx="73">
                  <c:v>0.72463716138704792</c:v>
                </c:pt>
                <c:pt idx="74">
                  <c:v>0.74877241610772982</c:v>
                </c:pt>
                <c:pt idx="75">
                  <c:v>0.77777419828770145</c:v>
                </c:pt>
                <c:pt idx="76">
                  <c:v>0.81100690005271481</c:v>
                </c:pt>
                <c:pt idx="77">
                  <c:v>0.8483446423603147</c:v>
                </c:pt>
                <c:pt idx="78">
                  <c:v>0.88961533292307393</c:v>
                </c:pt>
                <c:pt idx="79">
                  <c:v>0.93472550989314773</c:v>
                </c:pt>
                <c:pt idx="80">
                  <c:v>0.98363310969399609</c:v>
                </c:pt>
                <c:pt idx="81">
                  <c:v>1.0363317794867053</c:v>
                </c:pt>
                <c:pt idx="82">
                  <c:v>1.0928411367927486</c:v>
                </c:pt>
                <c:pt idx="83">
                  <c:v>1.153172211092931</c:v>
                </c:pt>
                <c:pt idx="84">
                  <c:v>1.2172687534082838</c:v>
                </c:pt>
                <c:pt idx="85">
                  <c:v>1.2853036808106775</c:v>
                </c:pt>
                <c:pt idx="86">
                  <c:v>1.3573534509633265</c:v>
                </c:pt>
                <c:pt idx="87">
                  <c:v>1.4334010747222103</c:v>
                </c:pt>
                <c:pt idx="88">
                  <c:v>1.5134641478749953</c:v>
                </c:pt>
                <c:pt idx="89">
                  <c:v>1.5977830943034517</c:v>
                </c:pt>
                <c:pt idx="90">
                  <c:v>1.6862512075062268</c:v>
                </c:pt>
                <c:pt idx="91">
                  <c:v>1.7790406597157742</c:v>
                </c:pt>
                <c:pt idx="92">
                  <c:v>1.8762792467526079</c:v>
                </c:pt>
                <c:pt idx="93">
                  <c:v>1.9783333025867085</c:v>
                </c:pt>
                <c:pt idx="94">
                  <c:v>2.0857146247195795</c:v>
                </c:pt>
                <c:pt idx="95">
                  <c:v>2.1979391555161651</c:v>
                </c:pt>
                <c:pt idx="96">
                  <c:v>2.3157236194173532</c:v>
                </c:pt>
                <c:pt idx="97">
                  <c:v>2.4385022542507189</c:v>
                </c:pt>
                <c:pt idx="98">
                  <c:v>2.566931708013533</c:v>
                </c:pt>
                <c:pt idx="99">
                  <c:v>2.7006428139286762</c:v>
                </c:pt>
                <c:pt idx="100">
                  <c:v>2.8400172717537902</c:v>
                </c:pt>
                <c:pt idx="101">
                  <c:v>2.9849827753038829</c:v>
                </c:pt>
                <c:pt idx="102">
                  <c:v>3.1356011571669136</c:v>
                </c:pt>
                <c:pt idx="103">
                  <c:v>3.2921470658131007</c:v>
                </c:pt>
                <c:pt idx="104">
                  <c:v>3.4543080639440817</c:v>
                </c:pt>
                <c:pt idx="105">
                  <c:v>3.6227645394442707</c:v>
                </c:pt>
                <c:pt idx="106">
                  <c:v>3.7967672888292259</c:v>
                </c:pt>
                <c:pt idx="107">
                  <c:v>3.977259762346117</c:v>
                </c:pt>
                <c:pt idx="108">
                  <c:v>4.1636131920314128</c:v>
                </c:pt>
                <c:pt idx="109">
                  <c:v>4.3564080007605721</c:v>
                </c:pt>
                <c:pt idx="110">
                  <c:v>4.5554854385754604</c:v>
                </c:pt>
                <c:pt idx="111">
                  <c:v>4.7608837664097878</c:v>
                </c:pt>
                <c:pt idx="112">
                  <c:v>4.973029066564588</c:v>
                </c:pt>
                <c:pt idx="113">
                  <c:v>5.1913338231876258</c:v>
                </c:pt>
                <c:pt idx="114">
                  <c:v>5.4167126561571486</c:v>
                </c:pt>
                <c:pt idx="115">
                  <c:v>5.6484103523404032</c:v>
                </c:pt>
                <c:pt idx="116">
                  <c:v>5.8871604483634883</c:v>
                </c:pt>
                <c:pt idx="117">
                  <c:v>6.132770744448603</c:v>
                </c:pt>
                <c:pt idx="118">
                  <c:v>6.3851990395175342</c:v>
                </c:pt>
                <c:pt idx="119">
                  <c:v>6.6450773464801927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362E-004E-87CB-F134175B536D}"/>
            </c:ext>
          </c:extLst>
        </c:ser>
        <c:ser>
          <c:idx val="4"/>
          <c:order val="4"/>
          <c:tx>
            <c:v>h0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xVal>
            <c:numRef>
              <c:f>Calculations!$A$18:$A$137</c:f>
              <c:numCache>
                <c:formatCode>General</c:formatCode>
                <c:ptCount val="120"/>
                <c:pt idx="0">
                  <c:v>0</c:v>
                </c:pt>
                <c:pt idx="1">
                  <c:v>1.680672268907563E-2</c:v>
                </c:pt>
                <c:pt idx="2">
                  <c:v>3.3613445378151259E-2</c:v>
                </c:pt>
                <c:pt idx="3">
                  <c:v>5.0420168067226892E-2</c:v>
                </c:pt>
                <c:pt idx="4">
                  <c:v>6.7226890756302518E-2</c:v>
                </c:pt>
                <c:pt idx="5">
                  <c:v>8.4033613445378144E-2</c:v>
                </c:pt>
                <c:pt idx="6">
                  <c:v>0.10084033613445377</c:v>
                </c:pt>
                <c:pt idx="7">
                  <c:v>0.1176470588235294</c:v>
                </c:pt>
                <c:pt idx="8">
                  <c:v>0.13445378151260504</c:v>
                </c:pt>
                <c:pt idx="9">
                  <c:v>0.15126050420168066</c:v>
                </c:pt>
                <c:pt idx="10">
                  <c:v>0.16806722689075629</c:v>
                </c:pt>
                <c:pt idx="11">
                  <c:v>0.18487394957983191</c:v>
                </c:pt>
                <c:pt idx="12">
                  <c:v>0.20168067226890754</c:v>
                </c:pt>
                <c:pt idx="13">
                  <c:v>0.21848739495798317</c:v>
                </c:pt>
                <c:pt idx="14">
                  <c:v>0.23529411764705879</c:v>
                </c:pt>
                <c:pt idx="15">
                  <c:v>0.25210084033613445</c:v>
                </c:pt>
                <c:pt idx="16">
                  <c:v>0.26890756302521007</c:v>
                </c:pt>
                <c:pt idx="17">
                  <c:v>0.2857142857142857</c:v>
                </c:pt>
                <c:pt idx="18">
                  <c:v>0.30252100840336132</c:v>
                </c:pt>
                <c:pt idx="19">
                  <c:v>0.31932773109243695</c:v>
                </c:pt>
                <c:pt idx="20">
                  <c:v>0.33613445378151258</c:v>
                </c:pt>
                <c:pt idx="21">
                  <c:v>0.3529411764705882</c:v>
                </c:pt>
                <c:pt idx="22">
                  <c:v>0.36974789915966383</c:v>
                </c:pt>
                <c:pt idx="23">
                  <c:v>0.38655462184873945</c:v>
                </c:pt>
                <c:pt idx="24">
                  <c:v>0.40336134453781508</c:v>
                </c:pt>
                <c:pt idx="25">
                  <c:v>0.42016806722689071</c:v>
                </c:pt>
                <c:pt idx="26">
                  <c:v>0.43697478991596633</c:v>
                </c:pt>
                <c:pt idx="27">
                  <c:v>0.45378151260504196</c:v>
                </c:pt>
                <c:pt idx="28">
                  <c:v>0.47058823529411759</c:v>
                </c:pt>
                <c:pt idx="29">
                  <c:v>0.48739495798319321</c:v>
                </c:pt>
                <c:pt idx="30">
                  <c:v>0.50420168067226889</c:v>
                </c:pt>
                <c:pt idx="31">
                  <c:v>0.52100840336134457</c:v>
                </c:pt>
                <c:pt idx="32">
                  <c:v>0.53781512605042026</c:v>
                </c:pt>
                <c:pt idx="33">
                  <c:v>0.55462184873949594</c:v>
                </c:pt>
                <c:pt idx="34">
                  <c:v>0.57142857142857162</c:v>
                </c:pt>
                <c:pt idx="35">
                  <c:v>0.5882352941176473</c:v>
                </c:pt>
                <c:pt idx="36">
                  <c:v>0.60504201680672298</c:v>
                </c:pt>
                <c:pt idx="37">
                  <c:v>0.62184873949579866</c:v>
                </c:pt>
                <c:pt idx="38">
                  <c:v>0.63865546218487435</c:v>
                </c:pt>
                <c:pt idx="39">
                  <c:v>0.65546218487395003</c:v>
                </c:pt>
                <c:pt idx="40">
                  <c:v>0.67226890756302571</c:v>
                </c:pt>
                <c:pt idx="41">
                  <c:v>0.68907563025210139</c:v>
                </c:pt>
                <c:pt idx="42">
                  <c:v>0.70588235294117707</c:v>
                </c:pt>
                <c:pt idx="43">
                  <c:v>0.72268907563025275</c:v>
                </c:pt>
                <c:pt idx="44">
                  <c:v>0.73949579831932843</c:v>
                </c:pt>
                <c:pt idx="45">
                  <c:v>0.75630252100840412</c:v>
                </c:pt>
                <c:pt idx="46">
                  <c:v>0.7731092436974798</c:v>
                </c:pt>
                <c:pt idx="47">
                  <c:v>0.78991596638655548</c:v>
                </c:pt>
                <c:pt idx="48">
                  <c:v>0.80672268907563116</c:v>
                </c:pt>
                <c:pt idx="49">
                  <c:v>0.82352941176470684</c:v>
                </c:pt>
                <c:pt idx="50">
                  <c:v>0.84033613445378252</c:v>
                </c:pt>
                <c:pt idx="51">
                  <c:v>0.85714285714285821</c:v>
                </c:pt>
                <c:pt idx="52">
                  <c:v>0.87394957983193389</c:v>
                </c:pt>
                <c:pt idx="53">
                  <c:v>0.89075630252100957</c:v>
                </c:pt>
                <c:pt idx="54">
                  <c:v>0.90756302521008525</c:v>
                </c:pt>
                <c:pt idx="55">
                  <c:v>0.92436974789916093</c:v>
                </c:pt>
                <c:pt idx="56">
                  <c:v>0.94117647058823661</c:v>
                </c:pt>
                <c:pt idx="57">
                  <c:v>0.95798319327731229</c:v>
                </c:pt>
                <c:pt idx="58">
                  <c:v>0.97478991596638798</c:v>
                </c:pt>
                <c:pt idx="59">
                  <c:v>0.99159663865546366</c:v>
                </c:pt>
                <c:pt idx="60">
                  <c:v>1.0084033613445393</c:v>
                </c:pt>
                <c:pt idx="61">
                  <c:v>1.0252100840336149</c:v>
                </c:pt>
                <c:pt idx="62">
                  <c:v>1.0420168067226905</c:v>
                </c:pt>
                <c:pt idx="63">
                  <c:v>1.0588235294117661</c:v>
                </c:pt>
                <c:pt idx="64">
                  <c:v>1.0756302521008416</c:v>
                </c:pt>
                <c:pt idx="65">
                  <c:v>1.0924369747899172</c:v>
                </c:pt>
                <c:pt idx="66">
                  <c:v>1.1092436974789928</c:v>
                </c:pt>
                <c:pt idx="67">
                  <c:v>1.1260504201680683</c:v>
                </c:pt>
                <c:pt idx="68">
                  <c:v>1.1428571428571439</c:v>
                </c:pt>
                <c:pt idx="69">
                  <c:v>1.1596638655462195</c:v>
                </c:pt>
                <c:pt idx="70">
                  <c:v>1.176470588235295</c:v>
                </c:pt>
                <c:pt idx="71">
                  <c:v>1.1932773109243706</c:v>
                </c:pt>
                <c:pt idx="72">
                  <c:v>1.2100840336134462</c:v>
                </c:pt>
                <c:pt idx="73">
                  <c:v>1.2268907563025218</c:v>
                </c:pt>
                <c:pt idx="74">
                  <c:v>1.2436974789915973</c:v>
                </c:pt>
                <c:pt idx="75">
                  <c:v>1.2605042016806729</c:v>
                </c:pt>
                <c:pt idx="76">
                  <c:v>1.2773109243697485</c:v>
                </c:pt>
                <c:pt idx="77">
                  <c:v>1.294117647058824</c:v>
                </c:pt>
                <c:pt idx="78">
                  <c:v>1.3109243697478996</c:v>
                </c:pt>
                <c:pt idx="79">
                  <c:v>1.3277310924369752</c:v>
                </c:pt>
                <c:pt idx="80">
                  <c:v>1.3445378151260508</c:v>
                </c:pt>
                <c:pt idx="81">
                  <c:v>1.3613445378151263</c:v>
                </c:pt>
                <c:pt idx="82">
                  <c:v>1.3781512605042019</c:v>
                </c:pt>
                <c:pt idx="83">
                  <c:v>1.3949579831932775</c:v>
                </c:pt>
                <c:pt idx="84">
                  <c:v>1.411764705882353</c:v>
                </c:pt>
                <c:pt idx="85">
                  <c:v>1.4285714285714286</c:v>
                </c:pt>
                <c:pt idx="86">
                  <c:v>1.4453781512605042</c:v>
                </c:pt>
                <c:pt idx="87">
                  <c:v>1.4621848739495797</c:v>
                </c:pt>
                <c:pt idx="88">
                  <c:v>1.4789915966386553</c:v>
                </c:pt>
                <c:pt idx="89">
                  <c:v>1.4957983193277309</c:v>
                </c:pt>
                <c:pt idx="90">
                  <c:v>1.5126050420168065</c:v>
                </c:pt>
                <c:pt idx="91">
                  <c:v>1.529411764705882</c:v>
                </c:pt>
                <c:pt idx="92">
                  <c:v>1.5462184873949576</c:v>
                </c:pt>
                <c:pt idx="93">
                  <c:v>1.5630252100840332</c:v>
                </c:pt>
                <c:pt idx="94">
                  <c:v>1.5798319327731087</c:v>
                </c:pt>
                <c:pt idx="95">
                  <c:v>1.5966386554621843</c:v>
                </c:pt>
                <c:pt idx="96">
                  <c:v>1.6134453781512599</c:v>
                </c:pt>
                <c:pt idx="97">
                  <c:v>1.6302521008403354</c:v>
                </c:pt>
                <c:pt idx="98">
                  <c:v>1.647058823529411</c:v>
                </c:pt>
                <c:pt idx="99">
                  <c:v>1.6638655462184866</c:v>
                </c:pt>
                <c:pt idx="100">
                  <c:v>1.6806722689075622</c:v>
                </c:pt>
                <c:pt idx="101">
                  <c:v>1.6974789915966377</c:v>
                </c:pt>
                <c:pt idx="102">
                  <c:v>1.7142857142857133</c:v>
                </c:pt>
                <c:pt idx="103">
                  <c:v>1.7310924369747889</c:v>
                </c:pt>
                <c:pt idx="104">
                  <c:v>1.7478991596638644</c:v>
                </c:pt>
                <c:pt idx="105">
                  <c:v>1.76470588235294</c:v>
                </c:pt>
                <c:pt idx="106">
                  <c:v>1.7815126050420156</c:v>
                </c:pt>
                <c:pt idx="107">
                  <c:v>1.7983193277310912</c:v>
                </c:pt>
                <c:pt idx="108">
                  <c:v>1.8151260504201667</c:v>
                </c:pt>
                <c:pt idx="109">
                  <c:v>1.8319327731092423</c:v>
                </c:pt>
                <c:pt idx="110">
                  <c:v>1.8487394957983179</c:v>
                </c:pt>
                <c:pt idx="111">
                  <c:v>1.8655462184873934</c:v>
                </c:pt>
                <c:pt idx="112">
                  <c:v>1.882352941176469</c:v>
                </c:pt>
                <c:pt idx="113">
                  <c:v>1.8991596638655446</c:v>
                </c:pt>
                <c:pt idx="114">
                  <c:v>1.9159663865546201</c:v>
                </c:pt>
                <c:pt idx="115">
                  <c:v>1.9327731092436957</c:v>
                </c:pt>
                <c:pt idx="116">
                  <c:v>1.9495798319327713</c:v>
                </c:pt>
                <c:pt idx="117">
                  <c:v>1.9663865546218469</c:v>
                </c:pt>
                <c:pt idx="118">
                  <c:v>1.9831932773109224</c:v>
                </c:pt>
                <c:pt idx="119">
                  <c:v>1.999999999999998</c:v>
                </c:pt>
              </c:numCache>
            </c:numRef>
          </c:xVal>
          <c:yVal>
            <c:numRef>
              <c:f>Calculations!$L$18:$L$137</c:f>
              <c:numCache>
                <c:formatCode>General</c:formatCode>
                <c:ptCount val="120"/>
                <c:pt idx="0">
                  <c:v>0</c:v>
                </c:pt>
                <c:pt idx="1">
                  <c:v>5.9420737914835922E-3</c:v>
                </c:pt>
                <c:pt idx="2">
                  <c:v>1.6832287925198801E-2</c:v>
                </c:pt>
                <c:pt idx="3">
                  <c:v>2.4562249743974432E-2</c:v>
                </c:pt>
                <c:pt idx="4">
                  <c:v>3.3724614836442554E-2</c:v>
                </c:pt>
                <c:pt idx="5">
                  <c:v>4.1779419054094921E-2</c:v>
                </c:pt>
                <c:pt idx="6">
                  <c:v>5.0677682032479882E-2</c:v>
                </c:pt>
                <c:pt idx="7">
                  <c:v>5.8891727300198968E-2</c:v>
                </c:pt>
                <c:pt idx="8">
                  <c:v>6.7690811220787989E-2</c:v>
                </c:pt>
                <c:pt idx="9">
                  <c:v>7.6009696798010257E-2</c:v>
                </c:pt>
                <c:pt idx="10">
                  <c:v>8.4763224581131377E-2</c:v>
                </c:pt>
                <c:pt idx="11">
                  <c:v>9.3162190119266533E-2</c:v>
                </c:pt>
                <c:pt idx="12">
                  <c:v>0.10189413256763878</c:v>
                </c:pt>
                <c:pt idx="13">
                  <c:v>0.11035972906279411</c:v>
                </c:pt>
                <c:pt idx="14">
                  <c:v>0.11908275125813643</c:v>
                </c:pt>
                <c:pt idx="15">
                  <c:v>0.12760679025998273</c:v>
                </c:pt>
                <c:pt idx="16">
                  <c:v>0.13632830725863607</c:v>
                </c:pt>
                <c:pt idx="17">
                  <c:v>0.14490538128594252</c:v>
                </c:pt>
                <c:pt idx="18">
                  <c:v>0.15363003932236574</c:v>
                </c:pt>
                <c:pt idx="19">
                  <c:v>0.16225635054716012</c:v>
                </c:pt>
                <c:pt idx="20">
                  <c:v>0.17098719887392233</c:v>
                </c:pt>
                <c:pt idx="21">
                  <c:v>0.179659946622864</c:v>
                </c:pt>
                <c:pt idx="22">
                  <c:v>0.1883990501081213</c:v>
                </c:pt>
                <c:pt idx="23">
                  <c:v>0.19711608504985603</c:v>
                </c:pt>
                <c:pt idx="24">
                  <c:v>0.20586486990540323</c:v>
                </c:pt>
                <c:pt idx="25">
                  <c:v>0.21462448671051038</c:v>
                </c:pt>
                <c:pt idx="26">
                  <c:v>0.22338394766253397</c:v>
                </c:pt>
                <c:pt idx="27">
                  <c:v>0.23218475451174325</c:v>
                </c:pt>
                <c:pt idx="28">
                  <c:v>0.24095558508286427</c:v>
                </c:pt>
                <c:pt idx="29">
                  <c:v>0.24979641818932277</c:v>
                </c:pt>
                <c:pt idx="30">
                  <c:v>0.25857909594750905</c:v>
                </c:pt>
                <c:pt idx="31">
                  <c:v>0.26745896165221494</c:v>
                </c:pt>
                <c:pt idx="32">
                  <c:v>0.27625380587837334</c:v>
                </c:pt>
                <c:pt idx="33">
                  <c:v>0.28517184028440001</c:v>
                </c:pt>
                <c:pt idx="34">
                  <c:v>0.29397905209887354</c:v>
                </c:pt>
                <c:pt idx="35">
                  <c:v>0.30292143234808616</c:v>
                </c:pt>
                <c:pt idx="36">
                  <c:v>0.31175418319559794</c:v>
                </c:pt>
                <c:pt idx="37">
                  <c:v>0.32070357649457837</c:v>
                </c:pt>
                <c:pt idx="38">
                  <c:v>0.32957855888274096</c:v>
                </c:pt>
                <c:pt idx="39">
                  <c:v>0.33853549050195775</c:v>
                </c:pt>
                <c:pt idx="40">
                  <c:v>0.3474515497703663</c:v>
                </c:pt>
                <c:pt idx="41">
                  <c:v>0.35641642959375203</c:v>
                </c:pt>
                <c:pt idx="42">
                  <c:v>0.36537253713709111</c:v>
                </c:pt>
                <c:pt idx="43">
                  <c:v>0.37434568144401947</c:v>
                </c:pt>
                <c:pt idx="44">
                  <c:v>0.38334091270752185</c:v>
                </c:pt>
                <c:pt idx="45">
                  <c:v>0.39232256125265247</c:v>
                </c:pt>
                <c:pt idx="46">
                  <c:v>0.40135607843459631</c:v>
                </c:pt>
                <c:pt idx="47">
                  <c:v>0.41034640798698135</c:v>
                </c:pt>
                <c:pt idx="48">
                  <c:v>0.41941744628689404</c:v>
                </c:pt>
                <c:pt idx="49">
                  <c:v>0.42841658146848849</c:v>
                </c:pt>
                <c:pt idx="50">
                  <c:v>0.43751172706943636</c:v>
                </c:pt>
                <c:pt idx="51">
                  <c:v>0.44653246008107889</c:v>
                </c:pt>
                <c:pt idx="52">
                  <c:v>0.45563401419770111</c:v>
                </c:pt>
                <c:pt idx="53">
                  <c:v>0.46469343894279264</c:v>
                </c:pt>
                <c:pt idx="54">
                  <c:v>0.47380158859079785</c:v>
                </c:pt>
                <c:pt idx="55">
                  <c:v>0.48289892842749743</c:v>
                </c:pt>
                <c:pt idx="56">
                  <c:v>0.49201381823521823</c:v>
                </c:pt>
                <c:pt idx="57">
                  <c:v>0.50114835295401894</c:v>
                </c:pt>
                <c:pt idx="58">
                  <c:v>0.51027009126827672</c:v>
                </c:pt>
                <c:pt idx="59">
                  <c:v>0.51944114998193469</c:v>
                </c:pt>
                <c:pt idx="60">
                  <c:v>0.52857982729017283</c:v>
                </c:pt>
                <c:pt idx="61">
                  <c:v>0.53786661291208337</c:v>
                </c:pt>
                <c:pt idx="62">
                  <c:v>0.54716191836074179</c:v>
                </c:pt>
                <c:pt idx="63">
                  <c:v>0.5566091165831426</c:v>
                </c:pt>
                <c:pt idx="64">
                  <c:v>0.56610304181272131</c:v>
                </c:pt>
                <c:pt idx="65">
                  <c:v>0.57570640617513025</c:v>
                </c:pt>
                <c:pt idx="66">
                  <c:v>0.58539944460159288</c:v>
                </c:pt>
                <c:pt idx="67">
                  <c:v>0.59515490977730467</c:v>
                </c:pt>
                <c:pt idx="68">
                  <c:v>0.60504727337750441</c:v>
                </c:pt>
                <c:pt idx="69">
                  <c:v>0.6149510359826853</c:v>
                </c:pt>
                <c:pt idx="70">
                  <c:v>0.62498765780535137</c:v>
                </c:pt>
                <c:pt idx="71">
                  <c:v>0.63509118457989611</c:v>
                </c:pt>
                <c:pt idx="72">
                  <c:v>0.64199227763287081</c:v>
                </c:pt>
                <c:pt idx="73">
                  <c:v>0.64972405943920752</c:v>
                </c:pt>
                <c:pt idx="74">
                  <c:v>0.65980971100208508</c:v>
                </c:pt>
                <c:pt idx="75">
                  <c:v>0.67169329432384672</c:v>
                </c:pt>
                <c:pt idx="76">
                  <c:v>0.68501176258735563</c:v>
                </c:pt>
                <c:pt idx="77">
                  <c:v>0.6996181421821146</c:v>
                </c:pt>
                <c:pt idx="78">
                  <c:v>0.71535222911102458</c:v>
                </c:pt>
                <c:pt idx="79">
                  <c:v>0.73209094122958551</c:v>
                </c:pt>
                <c:pt idx="80">
                  <c:v>0.74973616109348939</c:v>
                </c:pt>
                <c:pt idx="81">
                  <c:v>0.76820759304800501</c:v>
                </c:pt>
                <c:pt idx="82">
                  <c:v>0.78743822199173386</c:v>
                </c:pt>
                <c:pt idx="83">
                  <c:v>0.80736208901358708</c:v>
                </c:pt>
                <c:pt idx="84">
                  <c:v>0.82789637264989013</c:v>
                </c:pt>
                <c:pt idx="85">
                  <c:v>0.84903534330163055</c:v>
                </c:pt>
                <c:pt idx="86">
                  <c:v>0.87074286226368047</c:v>
                </c:pt>
                <c:pt idx="87">
                  <c:v>0.89295788369422513</c:v>
                </c:pt>
                <c:pt idx="88">
                  <c:v>0.9156342569992274</c:v>
                </c:pt>
                <c:pt idx="89">
                  <c:v>0.93878987699277694</c:v>
                </c:pt>
                <c:pt idx="90">
                  <c:v>0.9623478647198398</c:v>
                </c:pt>
                <c:pt idx="91">
                  <c:v>0.98630990878703084</c:v>
                </c:pt>
                <c:pt idx="92">
                  <c:v>1.0106232258075531</c:v>
                </c:pt>
                <c:pt idx="93">
                  <c:v>1.0350099890717663</c:v>
                </c:pt>
                <c:pt idx="94">
                  <c:v>1.0594865106800764</c:v>
                </c:pt>
                <c:pt idx="95">
                  <c:v>1.0839130929578289</c:v>
                </c:pt>
                <c:pt idx="96">
                  <c:v>1.1084182526068749</c:v>
                </c:pt>
                <c:pt idx="97">
                  <c:v>1.1328589965097928</c:v>
                </c:pt>
                <c:pt idx="98">
                  <c:v>1.1573439978740416</c:v>
                </c:pt>
                <c:pt idx="99">
                  <c:v>1.1817808288363292</c:v>
                </c:pt>
                <c:pt idx="100">
                  <c:v>1.2062206953038328</c:v>
                </c:pt>
                <c:pt idx="101">
                  <c:v>1.230632032784269</c:v>
                </c:pt>
                <c:pt idx="102">
                  <c:v>1.2550094162614047</c:v>
                </c:pt>
                <c:pt idx="103">
                  <c:v>1.2793808649937009</c:v>
                </c:pt>
                <c:pt idx="104">
                  <c:v>1.3036840368168638</c:v>
                </c:pt>
                <c:pt idx="105">
                  <c:v>1.3280063984137036</c:v>
                </c:pt>
                <c:pt idx="106">
                  <c:v>1.3522277742121385</c:v>
                </c:pt>
                <c:pt idx="107">
                  <c:v>1.3764680425092057</c:v>
                </c:pt>
                <c:pt idx="108">
                  <c:v>1.4006306502295829</c:v>
                </c:pt>
                <c:pt idx="109">
                  <c:v>1.4247808836080318</c:v>
                </c:pt>
                <c:pt idx="110">
                  <c:v>1.4488876254804217</c:v>
                </c:pt>
                <c:pt idx="111">
                  <c:v>1.4729465363610537</c:v>
                </c:pt>
                <c:pt idx="112">
                  <c:v>1.4969972225143222</c:v>
                </c:pt>
                <c:pt idx="113">
                  <c:v>1.5209649296983165</c:v>
                </c:pt>
                <c:pt idx="114">
                  <c:v>1.5449414684581328</c:v>
                </c:pt>
                <c:pt idx="115">
                  <c:v>1.5688381418755801</c:v>
                </c:pt>
                <c:pt idx="116">
                  <c:v>1.5927235123219712</c:v>
                </c:pt>
                <c:pt idx="117">
                  <c:v>1.6165697445470788</c:v>
                </c:pt>
                <c:pt idx="118">
                  <c:v>1.6403661783515582</c:v>
                </c:pt>
                <c:pt idx="119">
                  <c:v>1.6641643171226757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362E-004E-87CB-F134175B53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94325567"/>
        <c:axId val="928049855"/>
      </c:scatterChart>
      <c:valAx>
        <c:axId val="149432556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28049855"/>
        <c:crosses val="autoZero"/>
        <c:crossBetween val="midCat"/>
      </c:valAx>
      <c:valAx>
        <c:axId val="928049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4325567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trlProps/ctrlProp1.xml><?xml version="1.0" encoding="utf-8"?>
<formControlPr xmlns="http://schemas.microsoft.com/office/spreadsheetml/2009/9/main" objectType="Radio" checked="Checked" firstButton="1" fmlaLink="Calculations!$I$5" noThreeD="1"/>
</file>

<file path=xl/ctrlProps/ctrlProp2.xml><?xml version="1.0" encoding="utf-8"?>
<formControlPr xmlns="http://schemas.microsoft.com/office/spreadsheetml/2009/9/main" objectType="Radio" lockText="1" noThreeD="1"/>
</file>

<file path=xl/ctrlProps/ctrlProp3.xml><?xml version="1.0" encoding="utf-8"?>
<formControlPr xmlns="http://schemas.microsoft.com/office/spreadsheetml/2009/9/main" objectType="Radio" lockText="1" noThreeD="1"/>
</file>

<file path=xl/ctrlProps/ctrlProp4.xml><?xml version="1.0" encoding="utf-8"?>
<formControlPr xmlns="http://schemas.microsoft.com/office/spreadsheetml/2009/9/main" objectType="Radio" lockText="1" noThreeD="1"/>
</file>

<file path=xl/ctrlProps/ctrlProp5.xml><?xml version="1.0" encoding="utf-8"?>
<formControlPr xmlns="http://schemas.microsoft.com/office/spreadsheetml/2009/9/main" objectType="Radio" lockText="1" noThreeD="1"/>
</file>

<file path=xl/ctrlProps/ctrlProp6.xml><?xml version="1.0" encoding="utf-8"?>
<formControlPr xmlns="http://schemas.microsoft.com/office/spreadsheetml/2009/9/main" objectType="Scroll" dx="15" fmlaLink="Calculations!$AC$4" horiz="1" inc="2" max="200" noThreeD="1" page="40" val="165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jbatrust.org/how-we-help/publications-resources/rivers-and-coasts/nfm-leaky-barrier-retention-times/" TargetMode="External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image" Target="../media/image3.emf"/><Relationship Id="rId1" Type="http://schemas.openxmlformats.org/officeDocument/2006/relationships/image" Target="../media/image2.emf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25400</xdr:colOff>
      <xdr:row>11</xdr:row>
      <xdr:rowOff>63500</xdr:rowOff>
    </xdr:from>
    <xdr:ext cx="65" cy="172227"/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 txBox="1"/>
      </xdr:nvSpPr>
      <xdr:spPr>
        <a:xfrm>
          <a:off x="6614006" y="586701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/>
        </a:p>
      </xdr:txBody>
    </xdr:sp>
    <xdr:clientData/>
  </xdr:oneCellAnchor>
  <xdr:twoCellAnchor editAs="oneCell">
    <xdr:from>
      <xdr:col>10</xdr:col>
      <xdr:colOff>368300</xdr:colOff>
      <xdr:row>9</xdr:row>
      <xdr:rowOff>12700</xdr:rowOff>
    </xdr:from>
    <xdr:to>
      <xdr:col>16</xdr:col>
      <xdr:colOff>565108</xdr:colOff>
      <xdr:row>24</xdr:row>
      <xdr:rowOff>12700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302" t="20876" r="12114" b="28282"/>
        <a:stretch/>
      </xdr:blipFill>
      <xdr:spPr>
        <a:xfrm>
          <a:off x="8877300" y="1739900"/>
          <a:ext cx="5149808" cy="247650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>
    <xdr:from>
      <xdr:col>10</xdr:col>
      <xdr:colOff>368300</xdr:colOff>
      <xdr:row>25</xdr:row>
      <xdr:rowOff>25400</xdr:rowOff>
    </xdr:from>
    <xdr:to>
      <xdr:col>16</xdr:col>
      <xdr:colOff>584200</xdr:colOff>
      <xdr:row>29</xdr:row>
      <xdr:rowOff>177800</xdr:rowOff>
    </xdr:to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" name="TextBox 4">
              <a:extLst>
                <a:ext uri="{FF2B5EF4-FFF2-40B4-BE49-F238E27FC236}">
                  <a16:creationId xmlns:a16="http://schemas.microsoft.com/office/drawing/2014/main" id="{00000000-0008-0000-0000-000005000000}"/>
                </a:ext>
              </a:extLst>
            </xdr:cNvPr>
            <xdr:cNvSpPr txBox="1"/>
          </xdr:nvSpPr>
          <xdr:spPr>
            <a:xfrm>
              <a:off x="8877300" y="4432300"/>
              <a:ext cx="5168900" cy="965200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lang="en-GB" sz="1200" b="1"/>
                <a:t>Figure 1. </a:t>
              </a:r>
              <a:r>
                <a:rPr lang="en-GB" sz="1200"/>
                <a:t>Definition of two-part channel geometry with</a:t>
              </a:r>
              <a:r>
                <a:rPr lang="en-GB" sz="1200" baseline="0"/>
                <a:t> bankfull depth </a:t>
              </a:r>
              <a14:m>
                <m:oMath xmlns:m="http://schemas.openxmlformats.org/officeDocument/2006/math">
                  <m:sSub>
                    <m:sSubPr>
                      <m:ctrlPr>
                        <a:rPr lang="en-GB" sz="1200" i="1" baseline="0">
                          <a:latin typeface="Cambria Math" panose="02040503050406030204" pitchFamily="18" charset="0"/>
                        </a:rPr>
                      </m:ctrlPr>
                    </m:sSubPr>
                    <m:e>
                      <m:r>
                        <a:rPr lang="en-GB" sz="1200" b="0" i="1" baseline="0">
                          <a:latin typeface="Cambria Math" panose="02040503050406030204" pitchFamily="18" charset="0"/>
                        </a:rPr>
                        <m:t>𝐻</m:t>
                      </m:r>
                    </m:e>
                    <m:sub>
                      <m:r>
                        <a:rPr lang="en-GB" sz="1200" b="0" i="1" baseline="0">
                          <a:latin typeface="Cambria Math" panose="02040503050406030204" pitchFamily="18" charset="0"/>
                        </a:rPr>
                        <m:t>𝑏𝑓</m:t>
                      </m:r>
                    </m:sub>
                  </m:sSub>
                </m:oMath>
              </a14:m>
              <a:r>
                <a:rPr lang="en-GB" sz="1200" baseline="0"/>
                <a:t>, bankfull width </a:t>
              </a:r>
              <a14:m>
                <m:oMath xmlns:m="http://schemas.openxmlformats.org/officeDocument/2006/math">
                  <m:sSub>
                    <m:sSubPr>
                      <m:ctrlPr>
                        <a:rPr lang="en-GB" sz="1200" i="1" baseline="0">
                          <a:latin typeface="Cambria Math" panose="02040503050406030204" pitchFamily="18" charset="0"/>
                        </a:rPr>
                      </m:ctrlPr>
                    </m:sSubPr>
                    <m:e>
                      <m:r>
                        <a:rPr lang="en-GB" sz="1200" b="0" i="1" baseline="0">
                          <a:latin typeface="Cambria Math" panose="02040503050406030204" pitchFamily="18" charset="0"/>
                        </a:rPr>
                        <m:t>𝐵</m:t>
                      </m:r>
                    </m:e>
                    <m:sub>
                      <m:r>
                        <a:rPr lang="en-GB" sz="1200" b="0" i="1" baseline="0">
                          <a:latin typeface="Cambria Math" panose="02040503050406030204" pitchFamily="18" charset="0"/>
                        </a:rPr>
                        <m:t>𝑏𝑓</m:t>
                      </m:r>
                    </m:sub>
                  </m:sSub>
                </m:oMath>
              </a14:m>
              <a:r>
                <a:rPr lang="en-GB" sz="1200" baseline="0"/>
                <a:t>, bottom width </a:t>
              </a:r>
              <a14:m>
                <m:oMath xmlns:m="http://schemas.openxmlformats.org/officeDocument/2006/math">
                  <m:sSub>
                    <m:sSubPr>
                      <m:ctrlPr>
                        <a:rPr lang="en-GB" sz="1200" i="1" baseline="0">
                          <a:latin typeface="Cambria Math" panose="02040503050406030204" pitchFamily="18" charset="0"/>
                        </a:rPr>
                      </m:ctrlPr>
                    </m:sSubPr>
                    <m:e>
                      <m:r>
                        <a:rPr lang="en-GB" sz="1200" b="0" i="1" baseline="0">
                          <a:latin typeface="Cambria Math" panose="02040503050406030204" pitchFamily="18" charset="0"/>
                        </a:rPr>
                        <m:t>𝐵</m:t>
                      </m:r>
                    </m:e>
                    <m:sub>
                      <m:r>
                        <a:rPr lang="en-GB" sz="1200" b="0" i="1" baseline="0">
                          <a:latin typeface="Cambria Math" panose="02040503050406030204" pitchFamily="18" charset="0"/>
                        </a:rPr>
                        <m:t>0</m:t>
                      </m:r>
                    </m:sub>
                  </m:sSub>
                </m:oMath>
              </a14:m>
              <a:r>
                <a:rPr lang="en-GB" sz="1200" baseline="0"/>
                <a:t>, overbank width 1 m above bankfull level </a:t>
              </a:r>
              <a14:m>
                <m:oMath xmlns:m="http://schemas.openxmlformats.org/officeDocument/2006/math">
                  <m:sSub>
                    <m:sSubPr>
                      <m:ctrlPr>
                        <a:rPr lang="en-GB" sz="1200" i="1" baseline="0">
                          <a:latin typeface="Cambria Math" panose="02040503050406030204" pitchFamily="18" charset="0"/>
                        </a:rPr>
                      </m:ctrlPr>
                    </m:sSubPr>
                    <m:e>
                      <m:r>
                        <a:rPr lang="en-GB" sz="1200" b="0" i="1" baseline="0">
                          <a:latin typeface="Cambria Math" panose="02040503050406030204" pitchFamily="18" charset="0"/>
                        </a:rPr>
                        <m:t>𝐵</m:t>
                      </m:r>
                    </m:e>
                    <m:sub>
                      <m:r>
                        <a:rPr lang="en-GB" sz="1200" b="0" i="1" baseline="0">
                          <a:latin typeface="Cambria Math" panose="02040503050406030204" pitchFamily="18" charset="0"/>
                        </a:rPr>
                        <m:t>𝑜𝑣𝑒𝑟𝑏𝑎𝑛𝑘</m:t>
                      </m:r>
                    </m:sub>
                  </m:sSub>
                </m:oMath>
              </a14:m>
              <a:r>
                <a:rPr lang="en-GB" sz="1200" baseline="0"/>
                <a:t>, distance from channel bottom edge to logjam lower edge (lower gap height) </a:t>
              </a:r>
              <a14:m>
                <m:oMath xmlns:m="http://schemas.openxmlformats.org/officeDocument/2006/math">
                  <m:sSub>
                    <m:sSubPr>
                      <m:ctrlPr>
                        <a:rPr lang="en-GB" sz="1200" i="1" baseline="0">
                          <a:latin typeface="Cambria Math" panose="02040503050406030204" pitchFamily="18" charset="0"/>
                        </a:rPr>
                      </m:ctrlPr>
                    </m:sSubPr>
                    <m:e>
                      <m:r>
                        <a:rPr lang="en-GB" sz="1200" b="0" i="1" baseline="0">
                          <a:latin typeface="Cambria Math" panose="02040503050406030204" pitchFamily="18" charset="0"/>
                        </a:rPr>
                        <m:t>𝐻</m:t>
                      </m:r>
                    </m:e>
                    <m:sub>
                      <m:r>
                        <a:rPr lang="en-GB" sz="1200" b="0" i="1" baseline="0">
                          <a:latin typeface="Cambria Math" panose="02040503050406030204" pitchFamily="18" charset="0"/>
                        </a:rPr>
                        <m:t>𝑎</m:t>
                      </m:r>
                    </m:sub>
                  </m:sSub>
                </m:oMath>
              </a14:m>
              <a:r>
                <a:rPr lang="en-GB" sz="1200" baseline="0"/>
                <a:t>, and distance from channel bottom edge to logjam top edge </a:t>
              </a:r>
              <a14:m>
                <m:oMath xmlns:m="http://schemas.openxmlformats.org/officeDocument/2006/math">
                  <m:sSub>
                    <m:sSubPr>
                      <m:ctrlPr>
                        <a:rPr lang="en-GB" sz="1200" i="1" baseline="0">
                          <a:latin typeface="Cambria Math" panose="02040503050406030204" pitchFamily="18" charset="0"/>
                        </a:rPr>
                      </m:ctrlPr>
                    </m:sSubPr>
                    <m:e>
                      <m:r>
                        <a:rPr lang="en-GB" sz="1200" b="0" i="1" baseline="0">
                          <a:latin typeface="Cambria Math" panose="02040503050406030204" pitchFamily="18" charset="0"/>
                        </a:rPr>
                        <m:t>𝐻</m:t>
                      </m:r>
                    </m:e>
                    <m:sub>
                      <m:r>
                        <a:rPr lang="en-GB" sz="1200" b="0" i="1" baseline="0">
                          <a:latin typeface="Cambria Math" panose="02040503050406030204" pitchFamily="18" charset="0"/>
                        </a:rPr>
                        <m:t>𝑗</m:t>
                      </m:r>
                    </m:sub>
                  </m:sSub>
                </m:oMath>
              </a14:m>
              <a:r>
                <a:rPr lang="en-GB" sz="1200"/>
                <a:t>. </a:t>
              </a:r>
            </a:p>
          </xdr:txBody>
        </xdr:sp>
      </mc:Choice>
      <mc:Fallback xmlns="">
        <xdr:sp macro="" textlink="">
          <xdr:nvSpPr>
            <xdr:cNvPr id="5" name="TextBox 4">
              <a:extLst>
                <a:ext uri="{FF2B5EF4-FFF2-40B4-BE49-F238E27FC236}">
                  <a16:creationId xmlns:a16="http://schemas.microsoft.com/office/drawing/2014/main" id="{00000000-0008-0000-0000-000005000000}"/>
                </a:ext>
              </a:extLst>
            </xdr:cNvPr>
            <xdr:cNvSpPr txBox="1"/>
          </xdr:nvSpPr>
          <xdr:spPr>
            <a:xfrm>
              <a:off x="8877300" y="4432300"/>
              <a:ext cx="5168900" cy="965200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lang="en-GB" sz="1200" b="1"/>
                <a:t>Figure 1. </a:t>
              </a:r>
              <a:r>
                <a:rPr lang="en-GB" sz="1200"/>
                <a:t>Definition of two-part channel geometry with</a:t>
              </a:r>
              <a:r>
                <a:rPr lang="en-GB" sz="1200" baseline="0"/>
                <a:t> bankfull depth </a:t>
              </a:r>
              <a:r>
                <a:rPr lang="en-GB" sz="1200" b="0" i="0" baseline="0">
                  <a:latin typeface="Cambria Math" panose="02040503050406030204" pitchFamily="18" charset="0"/>
                </a:rPr>
                <a:t>𝐻_𝑏𝑓</a:t>
              </a:r>
              <a:r>
                <a:rPr lang="en-GB" sz="1200" baseline="0"/>
                <a:t>, bankfull width </a:t>
              </a:r>
              <a:r>
                <a:rPr lang="en-GB" sz="1200" b="0" i="0" baseline="0">
                  <a:latin typeface="Cambria Math" panose="02040503050406030204" pitchFamily="18" charset="0"/>
                </a:rPr>
                <a:t>𝐵_𝑏𝑓</a:t>
              </a:r>
              <a:r>
                <a:rPr lang="en-GB" sz="1200" baseline="0"/>
                <a:t>, bottom width </a:t>
              </a:r>
              <a:r>
                <a:rPr lang="en-GB" sz="1200" b="0" i="0" baseline="0">
                  <a:latin typeface="Cambria Math" panose="02040503050406030204" pitchFamily="18" charset="0"/>
                </a:rPr>
                <a:t>𝐵_0</a:t>
              </a:r>
              <a:r>
                <a:rPr lang="en-GB" sz="1200" baseline="0"/>
                <a:t>, overbank width 1 m above bankfull level </a:t>
              </a:r>
              <a:r>
                <a:rPr lang="en-GB" sz="1200" b="0" i="0" baseline="0">
                  <a:latin typeface="Cambria Math" panose="02040503050406030204" pitchFamily="18" charset="0"/>
                </a:rPr>
                <a:t>𝐵_𝑜𝑣𝑒𝑟𝑏𝑎𝑛𝑘</a:t>
              </a:r>
              <a:r>
                <a:rPr lang="en-GB" sz="1200" baseline="0"/>
                <a:t>, distance from channel bottom edge to logjam lower edge (lower gap height) </a:t>
              </a:r>
              <a:r>
                <a:rPr lang="en-GB" sz="1200" b="0" i="0" baseline="0">
                  <a:latin typeface="Cambria Math" panose="02040503050406030204" pitchFamily="18" charset="0"/>
                </a:rPr>
                <a:t>𝐻_𝑎</a:t>
              </a:r>
              <a:r>
                <a:rPr lang="en-GB" sz="1200" baseline="0"/>
                <a:t>, and distance from channel bottom edge to logjam top edge </a:t>
              </a:r>
              <a:r>
                <a:rPr lang="en-GB" sz="1200" b="0" i="0" baseline="0">
                  <a:latin typeface="Cambria Math" panose="02040503050406030204" pitchFamily="18" charset="0"/>
                </a:rPr>
                <a:t>𝐻_𝑗</a:t>
              </a:r>
              <a:r>
                <a:rPr lang="en-GB" sz="1200"/>
                <a:t>. </a:t>
              </a:r>
            </a:p>
          </xdr:txBody>
        </xdr:sp>
      </mc:Fallback>
    </mc:AlternateContent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50800</xdr:colOff>
          <xdr:row>9</xdr:row>
          <xdr:rowOff>38100</xdr:rowOff>
        </xdr:from>
        <xdr:to>
          <xdr:col>4</xdr:col>
          <xdr:colOff>355600</xdr:colOff>
          <xdr:row>11</xdr:row>
          <xdr:rowOff>101600</xdr:rowOff>
        </xdr:to>
        <xdr:sp macro="" textlink="">
          <xdr:nvSpPr>
            <xdr:cNvPr id="1030" name="Option Button 6" hidden="1">
              <a:extLst>
                <a:ext uri="{63B3BB69-23CF-44E3-9099-C40C66FF867C}">
                  <a14:compatExt spid="_x0000_s1030"/>
                </a:ext>
                <a:ext uri="{FF2B5EF4-FFF2-40B4-BE49-F238E27FC236}">
                  <a16:creationId xmlns:a16="http://schemas.microsoft.com/office/drawing/2014/main" id="{00000000-0008-0000-0000-00000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6576" rIns="0" bIns="36576" anchor="ctr" upright="1"/>
            <a:lstStyle/>
            <a:p>
              <a:pPr algn="l" rtl="0">
                <a:defRPr sz="1000"/>
              </a:pPr>
              <a:r>
                <a:rPr lang="en-GB" sz="12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Friction coefficient (C_f, [-])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50800</xdr:colOff>
          <xdr:row>11</xdr:row>
          <xdr:rowOff>63500</xdr:rowOff>
        </xdr:from>
        <xdr:to>
          <xdr:col>4</xdr:col>
          <xdr:colOff>431800</xdr:colOff>
          <xdr:row>13</xdr:row>
          <xdr:rowOff>88900</xdr:rowOff>
        </xdr:to>
        <xdr:sp macro="" textlink="">
          <xdr:nvSpPr>
            <xdr:cNvPr id="1031" name="Option Button 7" hidden="1">
              <a:extLst>
                <a:ext uri="{63B3BB69-23CF-44E3-9099-C40C66FF867C}">
                  <a14:compatExt spid="_x0000_s1031"/>
                </a:ext>
                <a:ext uri="{FF2B5EF4-FFF2-40B4-BE49-F238E27FC236}">
                  <a16:creationId xmlns:a16="http://schemas.microsoft.com/office/drawing/2014/main" id="{00000000-0008-0000-0000-00000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6576" rIns="0" bIns="36576" anchor="ctr" upright="1"/>
            <a:lstStyle/>
            <a:p>
              <a:pPr algn="l" rtl="0">
                <a:defRPr sz="1000"/>
              </a:pPr>
              <a:r>
                <a:rPr lang="en-GB" sz="12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Chézy coefficient (Cz, [-])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50800</xdr:colOff>
          <xdr:row>13</xdr:row>
          <xdr:rowOff>38100</xdr:rowOff>
        </xdr:from>
        <xdr:to>
          <xdr:col>4</xdr:col>
          <xdr:colOff>431800</xdr:colOff>
          <xdr:row>15</xdr:row>
          <xdr:rowOff>88900</xdr:rowOff>
        </xdr:to>
        <xdr:sp macro="" textlink="">
          <xdr:nvSpPr>
            <xdr:cNvPr id="1033" name="Option Button 9" hidden="1">
              <a:extLst>
                <a:ext uri="{63B3BB69-23CF-44E3-9099-C40C66FF867C}">
                  <a14:compatExt spid="_x0000_s1033"/>
                </a:ext>
                <a:ext uri="{FF2B5EF4-FFF2-40B4-BE49-F238E27FC236}">
                  <a16:creationId xmlns:a16="http://schemas.microsoft.com/office/drawing/2014/main" id="{00000000-0008-0000-0000-00000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6576" rIns="0" bIns="36576" anchor="ctr" upright="1"/>
            <a:lstStyle/>
            <a:p>
              <a:pPr algn="l" rtl="0">
                <a:defRPr sz="1000"/>
              </a:pPr>
              <a:r>
                <a:rPr lang="en-GB" sz="12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Manning's n (n, [s m^(-1/3)])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76200</xdr:colOff>
          <xdr:row>15</xdr:row>
          <xdr:rowOff>38100</xdr:rowOff>
        </xdr:from>
        <xdr:to>
          <xdr:col>8</xdr:col>
          <xdr:colOff>406400</xdr:colOff>
          <xdr:row>17</xdr:row>
          <xdr:rowOff>88900</xdr:rowOff>
        </xdr:to>
        <xdr:sp macro="" textlink="">
          <xdr:nvSpPr>
            <xdr:cNvPr id="1034" name="Option Button 10" hidden="1">
              <a:extLst>
                <a:ext uri="{63B3BB69-23CF-44E3-9099-C40C66FF867C}">
                  <a14:compatExt spid="_x0000_s1034"/>
                </a:ext>
                <a:ext uri="{FF2B5EF4-FFF2-40B4-BE49-F238E27FC236}">
                  <a16:creationId xmlns:a16="http://schemas.microsoft.com/office/drawing/2014/main" id="{00000000-0008-0000-0000-00000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6576" rIns="0" bIns="36576" anchor="ctr" upright="1"/>
            <a:lstStyle/>
            <a:p>
              <a:pPr algn="l" rtl="0">
                <a:defRPr sz="1000"/>
              </a:pPr>
              <a:r>
                <a:rPr lang="en-GB" sz="12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Estimate from median sediment diameter D_s50, H_bf (enter D_s50 [m])</a:t>
              </a:r>
            </a:p>
            <a:p>
              <a:pPr algn="l" rtl="0">
                <a:defRPr sz="1000"/>
              </a:pPr>
              <a:endParaRPr lang="en-GB" sz="1200" b="0" i="0" u="none" strike="noStrike" baseline="0">
                <a:solidFill>
                  <a:srgbClr val="000000"/>
                </a:solidFill>
                <a:latin typeface="Calibri"/>
                <a:cs typeface="Calibri"/>
              </a:endParaRPr>
            </a:p>
            <a:p>
              <a:pPr algn="l" rtl="0">
                <a:defRPr sz="1000"/>
              </a:pPr>
              <a:endParaRPr lang="en-GB" sz="1200" b="0" i="0" u="none" strike="noStrike" baseline="0">
                <a:solidFill>
                  <a:srgbClr val="000000"/>
                </a:solidFill>
                <a:latin typeface="Calibri"/>
                <a:cs typeface="Calibri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76200</xdr:colOff>
          <xdr:row>17</xdr:row>
          <xdr:rowOff>38100</xdr:rowOff>
        </xdr:from>
        <xdr:to>
          <xdr:col>8</xdr:col>
          <xdr:colOff>406400</xdr:colOff>
          <xdr:row>20</xdr:row>
          <xdr:rowOff>12700</xdr:rowOff>
        </xdr:to>
        <xdr:sp macro="" textlink="">
          <xdr:nvSpPr>
            <xdr:cNvPr id="1035" name="Option Button 11" hidden="1">
              <a:extLst>
                <a:ext uri="{63B3BB69-23CF-44E3-9099-C40C66FF867C}">
                  <a14:compatExt spid="_x0000_s1035"/>
                </a:ext>
                <a:ext uri="{FF2B5EF4-FFF2-40B4-BE49-F238E27FC236}">
                  <a16:creationId xmlns:a16="http://schemas.microsoft.com/office/drawing/2014/main" id="{00000000-0008-0000-0000-00000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6576" rIns="0" bIns="36576" anchor="ctr" upright="1"/>
            <a:lstStyle/>
            <a:p>
              <a:pPr algn="l" rtl="0">
                <a:defRPr sz="1000"/>
              </a:pPr>
              <a:r>
                <a:rPr lang="en-GB" sz="12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Estimate from channel slope (no additional input required)</a:t>
              </a:r>
            </a:p>
            <a:p>
              <a:pPr algn="l" rtl="0">
                <a:defRPr sz="1000"/>
              </a:pPr>
              <a:endParaRPr lang="en-GB" sz="1200" b="0" i="0" u="none" strike="noStrike" baseline="0">
                <a:solidFill>
                  <a:srgbClr val="000000"/>
                </a:solidFill>
                <a:latin typeface="Calibri"/>
                <a:cs typeface="Calibri"/>
              </a:endParaRPr>
            </a:p>
          </xdr:txBody>
        </xdr:sp>
        <xdr:clientData/>
      </xdr:twoCellAnchor>
    </mc:Choice>
    <mc:Fallback/>
  </mc:AlternateContent>
  <xdr:twoCellAnchor>
    <xdr:from>
      <xdr:col>10</xdr:col>
      <xdr:colOff>355600</xdr:colOff>
      <xdr:row>1</xdr:row>
      <xdr:rowOff>25400</xdr:rowOff>
    </xdr:from>
    <xdr:to>
      <xdr:col>18</xdr:col>
      <xdr:colOff>520700</xdr:colOff>
      <xdr:row>7</xdr:row>
      <xdr:rowOff>50800</xdr:rowOff>
    </xdr:to>
    <xdr:sp macro="" textlink="">
      <xdr:nvSpPr>
        <xdr:cNvPr id="2" name="TextBox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8864600" y="228600"/>
          <a:ext cx="6769100" cy="1244600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 b="1"/>
            <a:t>Leaky barrier retention times for Natural Flood Management interventions</a:t>
          </a:r>
        </a:p>
        <a:p>
          <a:r>
            <a:rPr lang="en-GB" sz="1200" b="0"/>
            <a:t>Follett, E.</a:t>
          </a:r>
          <a:r>
            <a:rPr lang="en-GB" sz="1200" b="0" baseline="30000"/>
            <a:t>1</a:t>
          </a:r>
          <a:r>
            <a:rPr lang="en-GB" sz="1200" b="0"/>
            <a:t> and Beven, K.</a:t>
          </a:r>
          <a:r>
            <a:rPr lang="en-GB" sz="1200" b="0" baseline="30000"/>
            <a:t>2</a:t>
          </a:r>
          <a:endParaRPr lang="en-GB" sz="800" b="0" baseline="30000"/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000" b="0" i="1" baseline="30000"/>
            <a:t>1</a:t>
          </a:r>
          <a:r>
            <a:rPr lang="en-GB" sz="1000" b="0" i="1" baseline="0"/>
            <a:t>Royal Academy of Engineering Research Fellow, Department of Civil Engineering &amp; Industrial Design, University of Liverpool, Liverpool, UK. </a:t>
          </a:r>
          <a:r>
            <a:rPr lang="en-GB" sz="1000" b="0" i="1"/>
            <a:t>Contact email:</a:t>
          </a:r>
          <a:r>
            <a:rPr lang="en-GB" sz="1000" b="0" i="1" baseline="0"/>
            <a:t> </a:t>
          </a:r>
          <a:r>
            <a:rPr lang="en-GB" sz="1000" b="0" i="1"/>
            <a:t>emf@alum.mit.edu</a:t>
          </a:r>
          <a:endParaRPr lang="en-GB" sz="1000" b="0" i="1" baseline="0"/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000" b="0" i="1" baseline="30000"/>
            <a:t>2</a:t>
          </a:r>
          <a:r>
            <a:rPr lang="en-GB" sz="1000" b="0" i="1" baseline="0"/>
            <a:t>Emeritus Professor of Hydrology, Lancaster University, Lancaster, UK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GB" sz="800" b="0" i="1" baseline="0"/>
        </a:p>
        <a:p>
          <a:r>
            <a:rPr lang="en-GB" sz="1200" b="0"/>
            <a:t>Design</a:t>
          </a:r>
          <a:r>
            <a:rPr lang="en-GB" sz="1200" b="0" baseline="0"/>
            <a:t> tool available from </a:t>
          </a:r>
          <a:r>
            <a:rPr lang="en-GB" sz="1200" b="0" u="sng" baseline="0">
              <a:solidFill>
                <a:srgbClr val="0432FF"/>
              </a:solidFill>
            </a:rPr>
            <a:t>JBA Trust</a:t>
          </a:r>
          <a:endParaRPr lang="en-GB" sz="1200" b="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419100</xdr:colOff>
      <xdr:row>20</xdr:row>
      <xdr:rowOff>139700</xdr:rowOff>
    </xdr:from>
    <xdr:to>
      <xdr:col>8</xdr:col>
      <xdr:colOff>38100</xdr:colOff>
      <xdr:row>34</xdr:row>
      <xdr:rowOff>38100</xdr:rowOff>
    </xdr:to>
    <xdr:graphicFrame macro="">
      <xdr:nvGraphicFramePr>
        <xdr:cNvPr id="11" name="Chart 2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373944</xdr:colOff>
      <xdr:row>36</xdr:row>
      <xdr:rowOff>136876</xdr:rowOff>
    </xdr:from>
    <xdr:to>
      <xdr:col>7</xdr:col>
      <xdr:colOff>825499</xdr:colOff>
      <xdr:row>51</xdr:row>
      <xdr:rowOff>14111</xdr:rowOff>
    </xdr:to>
    <xdr:graphicFrame macro="">
      <xdr:nvGraphicFramePr>
        <xdr:cNvPr id="12" name="Chart 3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oneCellAnchor>
    <xdr:from>
      <xdr:col>3</xdr:col>
      <xdr:colOff>25400</xdr:colOff>
      <xdr:row>10</xdr:row>
      <xdr:rowOff>63500</xdr:rowOff>
    </xdr:from>
    <xdr:ext cx="65" cy="172227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10236200" y="1892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/>
        </a:p>
      </xdr:txBody>
    </xdr:sp>
    <xdr:clientData/>
  </xdr:oneCellAnchor>
  <xdr:oneCellAnchor>
    <xdr:from>
      <xdr:col>10</xdr:col>
      <xdr:colOff>23090</xdr:colOff>
      <xdr:row>7</xdr:row>
      <xdr:rowOff>16918</xdr:rowOff>
    </xdr:from>
    <xdr:ext cx="731213" cy="1831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" name="TextBox 5">
              <a:extLst>
                <a:ext uri="{FF2B5EF4-FFF2-40B4-BE49-F238E27FC236}">
                  <a16:creationId xmlns:a16="http://schemas.microsoft.com/office/drawing/2014/main" id="{00000000-0008-0000-0100-000006000000}"/>
                </a:ext>
              </a:extLst>
            </xdr:cNvPr>
            <xdr:cNvSpPr txBox="1"/>
          </xdr:nvSpPr>
          <xdr:spPr>
            <a:xfrm>
              <a:off x="848590" y="5300118"/>
              <a:ext cx="731213" cy="1831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f>
                      <m:fPr>
                        <m:type m:val="lin"/>
                        <m:ctrlPr>
                          <a:rPr lang="en-GB" sz="1100" b="0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sSub>
                          <m:sSubPr>
                            <m:ctrlPr>
                              <a:rPr lang="en-GB" sz="1100" b="0" i="1">
                                <a:latin typeface="Cambria Math" panose="02040503050406030204" pitchFamily="18" charset="0"/>
                              </a:rPr>
                            </m:ctrlPr>
                          </m:sSubPr>
                          <m:e>
                            <m:r>
                              <a:rPr lang="en-GB" sz="1100" b="0" i="1">
                                <a:latin typeface="Cambria Math" panose="02040503050406030204" pitchFamily="18" charset="0"/>
                              </a:rPr>
                              <m:t>h</m:t>
                            </m:r>
                          </m:e>
                          <m:sub>
                            <m:r>
                              <a:rPr lang="en-GB" sz="1100" b="0" i="1">
                                <a:latin typeface="Cambria Math" panose="02040503050406030204" pitchFamily="18" charset="0"/>
                              </a:rPr>
                              <m:t>𝐽</m:t>
                            </m:r>
                          </m:sub>
                        </m:sSub>
                      </m:num>
                      <m:den>
                        <m:sSub>
                          <m:sSubPr>
                            <m:ctrlPr>
                              <a:rPr lang="en-GB" sz="1100" b="0" i="1">
                                <a:latin typeface="Cambria Math" panose="02040503050406030204" pitchFamily="18" charset="0"/>
                              </a:rPr>
                            </m:ctrlPr>
                          </m:sSubPr>
                          <m:e>
                            <m:r>
                              <a:rPr lang="en-GB" sz="1100" b="0" i="1">
                                <a:latin typeface="Cambria Math" panose="02040503050406030204" pitchFamily="18" charset="0"/>
                              </a:rPr>
                              <m:t>𝐻</m:t>
                            </m:r>
                          </m:e>
                          <m:sub>
                            <m:r>
                              <a:rPr lang="en-GB" sz="1100" b="0" i="1">
                                <a:latin typeface="Cambria Math" panose="02040503050406030204" pitchFamily="18" charset="0"/>
                              </a:rPr>
                              <m:t>𝑏𝑓</m:t>
                            </m:r>
                          </m:sub>
                        </m:sSub>
                      </m:den>
                    </m:f>
                  </m:oMath>
                </m:oMathPara>
              </a14:m>
              <a:endParaRPr lang="en-GB" sz="1100"/>
            </a:p>
          </xdr:txBody>
        </xdr:sp>
      </mc:Choice>
      <mc:Fallback xmlns="">
        <xdr:sp macro="" textlink="">
          <xdr:nvSpPr>
            <xdr:cNvPr id="6" name="TextBox 5">
              <a:extLst>
                <a:ext uri="{FF2B5EF4-FFF2-40B4-BE49-F238E27FC236}">
                  <a16:creationId xmlns:a16="http://schemas.microsoft.com/office/drawing/2014/main" id="{E83CEC47-B6DF-544D-AEB4-6EB913316412}"/>
                </a:ext>
              </a:extLst>
            </xdr:cNvPr>
            <xdr:cNvSpPr txBox="1"/>
          </xdr:nvSpPr>
          <xdr:spPr>
            <a:xfrm>
              <a:off x="848590" y="5300118"/>
              <a:ext cx="731213" cy="1831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:r>
                <a:rPr lang="en-GB" sz="1100" b="0" i="0">
                  <a:latin typeface="Cambria Math" panose="02040503050406030204" pitchFamily="18" charset="0"/>
                </a:rPr>
                <a:t>ℎ_𝐽∕𝐻_𝑏𝑓 </a:t>
              </a:r>
              <a:endParaRPr lang="en-GB" sz="1100"/>
            </a:p>
          </xdr:txBody>
        </xdr:sp>
      </mc:Fallback>
    </mc:AlternateContent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12700</xdr:colOff>
          <xdr:row>7</xdr:row>
          <xdr:rowOff>25400</xdr:rowOff>
        </xdr:from>
        <xdr:to>
          <xdr:col>15</xdr:col>
          <xdr:colOff>76200</xdr:colOff>
          <xdr:row>9</xdr:row>
          <xdr:rowOff>0</xdr:rowOff>
        </xdr:to>
        <xdr:sp macro="" textlink="">
          <xdr:nvSpPr>
            <xdr:cNvPr id="4097" name="Scroll Bar 1" hidden="1">
              <a:extLst>
                <a:ext uri="{63B3BB69-23CF-44E3-9099-C40C66FF867C}">
                  <a14:compatExt spid="_x0000_s4097"/>
                </a:ext>
                <a:ext uri="{FF2B5EF4-FFF2-40B4-BE49-F238E27FC236}">
                  <a16:creationId xmlns:a16="http://schemas.microsoft.com/office/drawing/2014/main" id="{00000000-0008-0000-0100-00000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xdr:oneCellAnchor>
    <xdr:from>
      <xdr:col>12</xdr:col>
      <xdr:colOff>569574</xdr:colOff>
      <xdr:row>9</xdr:row>
      <xdr:rowOff>23091</xdr:rowOff>
    </xdr:from>
    <xdr:ext cx="731213" cy="1831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7" name="TextBox 6">
              <a:extLst>
                <a:ext uri="{FF2B5EF4-FFF2-40B4-BE49-F238E27FC236}">
                  <a16:creationId xmlns:a16="http://schemas.microsoft.com/office/drawing/2014/main" id="{00000000-0008-0000-0100-000007000000}"/>
                </a:ext>
              </a:extLst>
            </xdr:cNvPr>
            <xdr:cNvSpPr txBox="1"/>
          </xdr:nvSpPr>
          <xdr:spPr>
            <a:xfrm>
              <a:off x="3350874" y="5712691"/>
              <a:ext cx="731213" cy="1831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14:m>
                <m:oMath xmlns:m="http://schemas.openxmlformats.org/officeDocument/2006/math">
                  <m:f>
                    <m:fPr>
                      <m:type m:val="lin"/>
                      <m:ctrlPr>
                        <a:rPr lang="en-GB" sz="1100" b="0" i="1">
                          <a:latin typeface="Cambria Math" panose="02040503050406030204" pitchFamily="18" charset="0"/>
                        </a:rPr>
                      </m:ctrlPr>
                    </m:fPr>
                    <m:num>
                      <m:sSub>
                        <m:sSubPr>
                          <m:ctrlPr>
                            <a:rPr lang="en-GB" sz="1100" b="0" i="1">
                              <a:latin typeface="Cambria Math" panose="02040503050406030204" pitchFamily="18" charset="0"/>
                            </a:rPr>
                          </m:ctrlPr>
                        </m:sSubPr>
                        <m:e>
                          <m:r>
                            <a:rPr lang="en-GB" sz="1100" b="0" i="1">
                              <a:latin typeface="Cambria Math" panose="02040503050406030204" pitchFamily="18" charset="0"/>
                            </a:rPr>
                            <m:t>h</m:t>
                          </m:r>
                        </m:e>
                        <m:sub>
                          <m:r>
                            <a:rPr lang="en-GB" sz="1100" b="0" i="1">
                              <a:latin typeface="Cambria Math" panose="02040503050406030204" pitchFamily="18" charset="0"/>
                            </a:rPr>
                            <m:t>𝐽</m:t>
                          </m:r>
                        </m:sub>
                      </m:sSub>
                    </m:num>
                    <m:den>
                      <m:sSub>
                        <m:sSubPr>
                          <m:ctrlPr>
                            <a:rPr lang="en-GB" sz="1100" b="0" i="1">
                              <a:latin typeface="Cambria Math" panose="02040503050406030204" pitchFamily="18" charset="0"/>
                            </a:rPr>
                          </m:ctrlPr>
                        </m:sSubPr>
                        <m:e>
                          <m:r>
                            <a:rPr lang="en-GB" sz="1100" b="0" i="1">
                              <a:latin typeface="Cambria Math" panose="02040503050406030204" pitchFamily="18" charset="0"/>
                            </a:rPr>
                            <m:t>𝐻</m:t>
                          </m:r>
                        </m:e>
                        <m:sub>
                          <m:r>
                            <a:rPr lang="en-GB" sz="1100" b="0" i="1">
                              <a:latin typeface="Cambria Math" panose="02040503050406030204" pitchFamily="18" charset="0"/>
                            </a:rPr>
                            <m:t>𝑏𝑓</m:t>
                          </m:r>
                        </m:sub>
                      </m:sSub>
                    </m:den>
                  </m:f>
                </m:oMath>
              </a14:m>
              <a:r>
                <a:rPr lang="en-GB" sz="1100"/>
                <a:t>:</a:t>
              </a:r>
            </a:p>
          </xdr:txBody>
        </xdr:sp>
      </mc:Choice>
      <mc:Fallback xmlns="">
        <xdr:sp macro="" textlink="">
          <xdr:nvSpPr>
            <xdr:cNvPr id="7" name="TextBox 6">
              <a:extLst>
                <a:ext uri="{FF2B5EF4-FFF2-40B4-BE49-F238E27FC236}">
                  <a16:creationId xmlns:a16="http://schemas.microsoft.com/office/drawing/2014/main" id="{622DC659-4B73-B84D-B847-7A08F9CC7680}"/>
                </a:ext>
              </a:extLst>
            </xdr:cNvPr>
            <xdr:cNvSpPr txBox="1"/>
          </xdr:nvSpPr>
          <xdr:spPr>
            <a:xfrm>
              <a:off x="3350874" y="5712691"/>
              <a:ext cx="731213" cy="1831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r>
                <a:rPr lang="en-GB" sz="1100" b="0" i="0">
                  <a:latin typeface="Cambria Math" panose="02040503050406030204" pitchFamily="18" charset="0"/>
                </a:rPr>
                <a:t>ℎ_𝐽∕𝐻_𝑏𝑓 </a:t>
              </a:r>
              <a:r>
                <a:rPr lang="en-GB" sz="1100"/>
                <a:t>:</a:t>
              </a:r>
            </a:p>
          </xdr:txBody>
        </xdr:sp>
      </mc:Fallback>
    </mc:AlternateContent>
    <xdr:clientData/>
  </xdr:oneCellAnchor>
  <xdr:twoCellAnchor>
    <xdr:from>
      <xdr:col>2</xdr:col>
      <xdr:colOff>393700</xdr:colOff>
      <xdr:row>4</xdr:row>
      <xdr:rowOff>184150</xdr:rowOff>
    </xdr:from>
    <xdr:to>
      <xdr:col>8</xdr:col>
      <xdr:colOff>12700</xdr:colOff>
      <xdr:row>18</xdr:row>
      <xdr:rowOff>82550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509649</xdr:colOff>
      <xdr:row>95</xdr:row>
      <xdr:rowOff>63336</xdr:rowOff>
    </xdr:from>
    <xdr:to>
      <xdr:col>7</xdr:col>
      <xdr:colOff>479961</xdr:colOff>
      <xdr:row>109</xdr:row>
      <xdr:rowOff>35627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0</xdr:row>
      <xdr:rowOff>0</xdr:rowOff>
    </xdr:from>
    <xdr:to>
      <xdr:col>17</xdr:col>
      <xdr:colOff>503776</xdr:colOff>
      <xdr:row>49</xdr:row>
      <xdr:rowOff>101600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29500" y="0"/>
          <a:ext cx="7107776" cy="10058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8</xdr:col>
      <xdr:colOff>503776</xdr:colOff>
      <xdr:row>49</xdr:row>
      <xdr:rowOff>101600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107776" cy="10058400"/>
        </a:xfrm>
        <a:prstGeom prst="rect">
          <a:avLst/>
        </a:prstGeom>
      </xdr:spPr>
    </xdr:pic>
    <xdr:clientData/>
  </xdr:twoCellAnchor>
  <xdr:twoCellAnchor editAs="oneCell">
    <xdr:from>
      <xdr:col>17</xdr:col>
      <xdr:colOff>165100</xdr:colOff>
      <xdr:row>0</xdr:row>
      <xdr:rowOff>0</xdr:rowOff>
    </xdr:from>
    <xdr:to>
      <xdr:col>25</xdr:col>
      <xdr:colOff>668876</xdr:colOff>
      <xdr:row>49</xdr:row>
      <xdr:rowOff>101600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98600" y="0"/>
          <a:ext cx="7107776" cy="100584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1.xml"/><Relationship Id="rId7" Type="http://schemas.openxmlformats.org/officeDocument/2006/relationships/ctrlProp" Target="../ctrlProps/ctrlProp5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Relationship Id="rId6" Type="http://schemas.openxmlformats.org/officeDocument/2006/relationships/ctrlProp" Target="../ctrlProps/ctrlProp4.xml"/><Relationship Id="rId5" Type="http://schemas.openxmlformats.org/officeDocument/2006/relationships/ctrlProp" Target="../ctrlProps/ctrlProp3.xml"/><Relationship Id="rId4" Type="http://schemas.openxmlformats.org/officeDocument/2006/relationships/ctrlProp" Target="../ctrlProps/ctrlProp2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6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71C3FE-96C6-FF48-B51E-4BA34E981C41}">
  <sheetPr codeName="Sheet1"/>
  <dimension ref="B2:K51"/>
  <sheetViews>
    <sheetView showGridLines="0" tabSelected="1" zoomScaleNormal="100" workbookViewId="0">
      <selection activeCell="S27" sqref="S27"/>
    </sheetView>
  </sheetViews>
  <sheetFormatPr defaultColWidth="10.6640625" defaultRowHeight="15.5" x14ac:dyDescent="0.35"/>
  <cols>
    <col min="2" max="2" width="12.1640625" customWidth="1"/>
    <col min="3" max="3" width="12.83203125" bestFit="1" customWidth="1"/>
  </cols>
  <sheetData>
    <row r="2" spans="2:11" x14ac:dyDescent="0.35">
      <c r="B2" s="19" t="s">
        <v>83</v>
      </c>
      <c r="C2" s="4"/>
      <c r="D2" s="4"/>
      <c r="E2" s="4"/>
      <c r="F2" s="4"/>
      <c r="G2" s="4"/>
      <c r="H2" s="4"/>
      <c r="I2" s="4"/>
      <c r="J2" s="4"/>
      <c r="K2" s="1"/>
    </row>
    <row r="3" spans="2:11" x14ac:dyDescent="0.35">
      <c r="B3" s="4" t="s">
        <v>20</v>
      </c>
      <c r="C3" s="44">
        <v>5.0000000000000001E-3</v>
      </c>
      <c r="D3" s="4" t="s">
        <v>6</v>
      </c>
      <c r="E3" s="4" t="s">
        <v>14</v>
      </c>
      <c r="F3" s="4"/>
      <c r="G3" s="4"/>
      <c r="H3" s="4"/>
      <c r="I3" s="4"/>
      <c r="J3" s="4"/>
    </row>
    <row r="4" spans="2:11" x14ac:dyDescent="0.35">
      <c r="B4" s="4" t="s">
        <v>21</v>
      </c>
      <c r="C4" s="44">
        <v>1</v>
      </c>
      <c r="D4" s="4" t="s">
        <v>0</v>
      </c>
      <c r="E4" s="4" t="s">
        <v>15</v>
      </c>
      <c r="F4" s="4"/>
      <c r="G4" s="4"/>
      <c r="H4" s="4"/>
      <c r="I4" s="4"/>
      <c r="J4" s="4"/>
    </row>
    <row r="5" spans="2:11" x14ac:dyDescent="0.35">
      <c r="B5" s="4" t="s">
        <v>22</v>
      </c>
      <c r="C5" s="44">
        <v>3</v>
      </c>
      <c r="D5" s="4" t="s">
        <v>0</v>
      </c>
      <c r="E5" s="4" t="s">
        <v>16</v>
      </c>
      <c r="F5" s="4"/>
      <c r="G5" s="4"/>
      <c r="H5" s="4"/>
      <c r="I5" s="4"/>
      <c r="J5" s="4"/>
    </row>
    <row r="6" spans="2:11" x14ac:dyDescent="0.35">
      <c r="B6" s="4" t="s">
        <v>23</v>
      </c>
      <c r="C6" s="44">
        <v>4</v>
      </c>
      <c r="D6" s="4" t="s">
        <v>0</v>
      </c>
      <c r="E6" s="4" t="s">
        <v>17</v>
      </c>
      <c r="F6" s="4"/>
      <c r="G6" s="4"/>
      <c r="H6" s="4"/>
      <c r="I6" s="4"/>
      <c r="J6" s="4"/>
    </row>
    <row r="7" spans="2:11" x14ac:dyDescent="0.35">
      <c r="B7" s="4" t="s">
        <v>24</v>
      </c>
      <c r="C7" s="44">
        <v>8</v>
      </c>
      <c r="D7" s="4" t="s">
        <v>0</v>
      </c>
      <c r="E7" s="4" t="s">
        <v>18</v>
      </c>
      <c r="F7" s="4"/>
      <c r="G7" s="4"/>
      <c r="H7" s="4"/>
      <c r="I7" s="4"/>
      <c r="J7" s="4"/>
    </row>
    <row r="8" spans="2:11" ht="8" customHeight="1" x14ac:dyDescent="0.35">
      <c r="B8" s="4"/>
      <c r="C8" s="4"/>
      <c r="D8" s="4"/>
      <c r="E8" s="4"/>
      <c r="F8" s="4"/>
      <c r="G8" s="4"/>
      <c r="H8" s="4"/>
      <c r="I8" s="4"/>
      <c r="J8" s="4"/>
    </row>
    <row r="9" spans="2:11" x14ac:dyDescent="0.35">
      <c r="B9" s="4" t="s">
        <v>147</v>
      </c>
      <c r="C9" s="4"/>
      <c r="D9" s="4"/>
      <c r="E9" s="4"/>
      <c r="F9" s="4"/>
      <c r="G9" s="4"/>
      <c r="H9" s="4"/>
      <c r="I9" s="4"/>
      <c r="J9" s="4"/>
    </row>
    <row r="10" spans="2:11" ht="9" customHeight="1" x14ac:dyDescent="0.35">
      <c r="B10" s="4"/>
      <c r="C10" s="4"/>
      <c r="D10" s="4"/>
      <c r="E10" s="4"/>
      <c r="F10" s="4"/>
      <c r="G10" s="4"/>
      <c r="H10" s="4"/>
      <c r="I10" s="4"/>
      <c r="J10" s="4"/>
    </row>
    <row r="11" spans="2:11" x14ac:dyDescent="0.35">
      <c r="B11" s="52">
        <f>H36</f>
        <v>2.3E-2</v>
      </c>
      <c r="C11" s="4"/>
      <c r="D11" s="4"/>
      <c r="E11" s="4"/>
      <c r="F11" s="4"/>
      <c r="G11" s="4"/>
      <c r="H11" s="4"/>
      <c r="I11" s="4"/>
      <c r="J11" s="4"/>
    </row>
    <row r="12" spans="2:11" ht="12" customHeight="1" x14ac:dyDescent="0.35">
      <c r="B12" s="4"/>
      <c r="C12" s="4"/>
      <c r="D12" s="4"/>
      <c r="E12" s="4"/>
      <c r="F12" s="4"/>
      <c r="G12" s="4"/>
      <c r="H12" s="4"/>
      <c r="I12" s="4"/>
      <c r="J12" s="4"/>
    </row>
    <row r="13" spans="2:11" x14ac:dyDescent="0.35">
      <c r="B13" s="52">
        <f>I36</f>
        <v>6.59</v>
      </c>
      <c r="C13" s="4"/>
      <c r="D13" s="4"/>
      <c r="E13" s="4"/>
      <c r="F13" s="4"/>
      <c r="G13" s="4"/>
      <c r="H13" s="4"/>
      <c r="I13" s="4"/>
      <c r="J13" s="4"/>
    </row>
    <row r="14" spans="2:11" ht="10" customHeight="1" x14ac:dyDescent="0.35">
      <c r="B14" s="4"/>
      <c r="C14" s="4"/>
      <c r="D14" s="4"/>
      <c r="E14" s="4"/>
      <c r="F14" s="4"/>
      <c r="G14" s="4"/>
      <c r="H14" s="4"/>
      <c r="I14" s="4"/>
      <c r="J14" s="4"/>
    </row>
    <row r="15" spans="2:11" x14ac:dyDescent="0.35">
      <c r="B15" s="52">
        <f>J36</f>
        <v>4.5999999999999999E-2</v>
      </c>
      <c r="C15" s="4"/>
      <c r="D15" s="4"/>
      <c r="E15" s="4"/>
      <c r="F15" s="4"/>
      <c r="G15" s="4"/>
      <c r="H15" s="4"/>
      <c r="I15" s="4"/>
      <c r="J15" s="4"/>
    </row>
    <row r="16" spans="2:11" ht="10" customHeight="1" x14ac:dyDescent="0.35">
      <c r="B16" s="4"/>
      <c r="C16" s="4"/>
      <c r="D16" s="4"/>
      <c r="E16" s="4"/>
      <c r="F16" s="4"/>
      <c r="G16" s="4"/>
      <c r="H16" s="4"/>
      <c r="I16" s="4"/>
      <c r="J16" s="4"/>
    </row>
    <row r="17" spans="2:10" x14ac:dyDescent="0.35">
      <c r="B17" s="52">
        <f>G36</f>
        <v>0.1135</v>
      </c>
      <c r="C17" s="4"/>
      <c r="D17" s="4"/>
      <c r="E17" s="4"/>
      <c r="F17" s="4"/>
      <c r="G17" s="4"/>
      <c r="H17" s="4"/>
      <c r="I17" s="4"/>
      <c r="J17" s="4"/>
    </row>
    <row r="18" spans="2:10" ht="9" customHeight="1" x14ac:dyDescent="0.35">
      <c r="B18" s="4"/>
      <c r="C18" s="4"/>
      <c r="D18" s="4"/>
      <c r="E18" s="4"/>
      <c r="F18" s="4"/>
      <c r="G18" s="4"/>
      <c r="H18" s="4"/>
      <c r="I18" s="4"/>
      <c r="J18" s="4"/>
    </row>
    <row r="19" spans="2:10" x14ac:dyDescent="0.35">
      <c r="B19" s="40"/>
      <c r="C19" s="4"/>
      <c r="D19" s="4"/>
      <c r="E19" s="4"/>
      <c r="F19" s="4"/>
      <c r="G19" s="4"/>
      <c r="H19" s="4"/>
      <c r="I19" s="4"/>
      <c r="J19" s="4"/>
    </row>
    <row r="20" spans="2:10" ht="7" customHeight="1" x14ac:dyDescent="0.35">
      <c r="B20" s="40"/>
      <c r="C20" s="4"/>
      <c r="D20" s="4"/>
      <c r="E20" s="4"/>
      <c r="F20" s="4"/>
      <c r="G20" s="4"/>
      <c r="H20" s="4"/>
      <c r="I20" s="4"/>
      <c r="J20" s="4"/>
    </row>
    <row r="21" spans="2:10" x14ac:dyDescent="0.35">
      <c r="B21" s="43" t="s">
        <v>146</v>
      </c>
      <c r="C21" s="4"/>
      <c r="D21" s="45"/>
      <c r="E21" s="40"/>
      <c r="F21" s="4"/>
      <c r="G21" s="4"/>
      <c r="H21" s="4"/>
      <c r="I21" s="4"/>
      <c r="J21" s="4"/>
    </row>
    <row r="22" spans="2:10" ht="10" customHeight="1" x14ac:dyDescent="0.35">
      <c r="B22" s="43"/>
      <c r="C22" s="4"/>
      <c r="D22" s="45"/>
      <c r="E22" s="40"/>
      <c r="F22" s="4"/>
      <c r="G22" s="4"/>
      <c r="H22" s="4"/>
      <c r="I22" s="4"/>
      <c r="J22" s="4"/>
    </row>
    <row r="23" spans="2:10" x14ac:dyDescent="0.35">
      <c r="B23" s="19" t="s">
        <v>84</v>
      </c>
      <c r="C23" s="4"/>
      <c r="D23" s="4"/>
      <c r="E23" s="4"/>
      <c r="F23" s="4"/>
      <c r="G23" s="4"/>
      <c r="H23" s="4"/>
      <c r="I23" s="4"/>
      <c r="J23" s="4"/>
    </row>
    <row r="24" spans="2:10" x14ac:dyDescent="0.35">
      <c r="B24" s="4" t="s">
        <v>1</v>
      </c>
      <c r="C24" s="44">
        <v>0</v>
      </c>
      <c r="D24" s="4" t="s">
        <v>0</v>
      </c>
      <c r="E24" s="4" t="s">
        <v>4</v>
      </c>
      <c r="F24" s="4"/>
      <c r="G24" s="4"/>
      <c r="H24" s="4"/>
      <c r="I24" s="4"/>
      <c r="J24" s="4"/>
    </row>
    <row r="25" spans="2:10" x14ac:dyDescent="0.35">
      <c r="B25" s="4" t="s">
        <v>2</v>
      </c>
      <c r="C25" s="44">
        <v>1.2</v>
      </c>
      <c r="D25" s="4" t="s">
        <v>0</v>
      </c>
      <c r="E25" s="4" t="s">
        <v>3</v>
      </c>
      <c r="F25" s="4"/>
      <c r="G25" s="4"/>
      <c r="H25" s="4"/>
      <c r="I25" s="4"/>
      <c r="J25" s="4"/>
    </row>
    <row r="26" spans="2:10" x14ac:dyDescent="0.35">
      <c r="B26" s="4" t="s">
        <v>5</v>
      </c>
      <c r="C26" s="44">
        <v>0.5</v>
      </c>
      <c r="D26" s="4" t="s">
        <v>6</v>
      </c>
      <c r="E26" s="4" t="s">
        <v>7</v>
      </c>
      <c r="F26" s="4"/>
      <c r="G26" s="4"/>
      <c r="H26" s="4"/>
      <c r="I26" s="4"/>
      <c r="J26" s="4"/>
    </row>
    <row r="27" spans="2:10" x14ac:dyDescent="0.35">
      <c r="B27" s="4"/>
      <c r="C27" s="4"/>
      <c r="D27" s="4"/>
      <c r="E27" s="4" t="s">
        <v>49</v>
      </c>
      <c r="F27" s="4"/>
      <c r="G27" s="4"/>
      <c r="H27" s="4"/>
      <c r="I27" s="4"/>
      <c r="J27" s="4"/>
    </row>
    <row r="28" spans="2:10" x14ac:dyDescent="0.35">
      <c r="B28" s="4"/>
      <c r="C28" s="4"/>
      <c r="D28" s="4"/>
      <c r="E28" s="4" t="s">
        <v>10</v>
      </c>
      <c r="F28" s="4"/>
      <c r="G28" s="4"/>
      <c r="H28" s="4"/>
      <c r="I28" s="4"/>
      <c r="J28" s="4"/>
    </row>
    <row r="29" spans="2:10" x14ac:dyDescent="0.35">
      <c r="B29" s="4"/>
      <c r="C29" s="4"/>
      <c r="D29" s="4"/>
      <c r="E29" s="4">
        <v>1</v>
      </c>
      <c r="F29" s="4" t="s">
        <v>9</v>
      </c>
      <c r="G29" s="4"/>
      <c r="H29" s="4"/>
      <c r="I29" s="4"/>
      <c r="J29" s="4"/>
    </row>
    <row r="30" spans="2:10" x14ac:dyDescent="0.35">
      <c r="B30" s="4"/>
      <c r="C30" s="4"/>
      <c r="D30" s="4"/>
      <c r="E30" s="4">
        <v>0.5</v>
      </c>
      <c r="F30" s="4" t="s">
        <v>11</v>
      </c>
      <c r="G30" s="4"/>
      <c r="H30" s="4"/>
      <c r="I30" s="4"/>
      <c r="J30" s="4"/>
    </row>
    <row r="31" spans="2:10" x14ac:dyDescent="0.35">
      <c r="B31" s="4"/>
      <c r="C31" s="4"/>
      <c r="D31" s="4"/>
      <c r="E31" s="17">
        <v>1E-99</v>
      </c>
      <c r="F31" s="4" t="s">
        <v>12</v>
      </c>
      <c r="G31" s="4"/>
      <c r="H31" s="4"/>
      <c r="I31" s="4"/>
      <c r="J31" s="4"/>
    </row>
    <row r="32" spans="2:10" x14ac:dyDescent="0.35">
      <c r="B32" s="4"/>
      <c r="C32" s="4"/>
      <c r="D32" s="4"/>
      <c r="E32" s="17"/>
      <c r="F32" s="4"/>
      <c r="G32" s="4"/>
      <c r="H32" s="4"/>
      <c r="I32" s="4"/>
      <c r="J32" s="4"/>
    </row>
    <row r="33" spans="2:10" x14ac:dyDescent="0.35">
      <c r="B33" s="39" t="s">
        <v>145</v>
      </c>
      <c r="C33" s="40"/>
      <c r="D33" s="40"/>
      <c r="E33" s="40"/>
      <c r="F33" s="40"/>
      <c r="G33" s="40"/>
      <c r="H33" s="40"/>
      <c r="I33" s="40"/>
      <c r="J33" s="40"/>
    </row>
    <row r="34" spans="2:10" x14ac:dyDescent="0.35">
      <c r="B34" s="46" t="s">
        <v>128</v>
      </c>
      <c r="C34" s="47"/>
      <c r="D34" s="48" t="s">
        <v>20</v>
      </c>
      <c r="E34" s="48" t="s">
        <v>129</v>
      </c>
      <c r="F34" s="48" t="s">
        <v>130</v>
      </c>
      <c r="G34" s="48" t="s">
        <v>131</v>
      </c>
      <c r="H34" s="48" t="s">
        <v>136</v>
      </c>
      <c r="I34" s="48" t="s">
        <v>137</v>
      </c>
      <c r="J34" s="48" t="s">
        <v>138</v>
      </c>
    </row>
    <row r="35" spans="2:10" x14ac:dyDescent="0.35">
      <c r="B35" s="40" t="s">
        <v>132</v>
      </c>
      <c r="C35" s="40"/>
      <c r="D35" s="40">
        <v>1.9350000000000001E-3</v>
      </c>
      <c r="E35" s="40">
        <v>6.5</v>
      </c>
      <c r="F35" s="40">
        <v>0.68</v>
      </c>
      <c r="G35" s="40">
        <v>2.3199999999999998E-2</v>
      </c>
      <c r="H35" s="49">
        <f>ROUND((5.75*LOG10((2*F35/G35)))^(-2),3)</f>
        <v>0.01</v>
      </c>
      <c r="I35" s="51">
        <f>ROUND(1/SQRT(H35),1)</f>
        <v>10</v>
      </c>
      <c r="J35" s="49">
        <f>ROUND(SQRT(H35*F35^(1/3)/9.8),3)</f>
        <v>0.03</v>
      </c>
    </row>
    <row r="36" spans="2:10" x14ac:dyDescent="0.35">
      <c r="B36" s="40" t="s">
        <v>133</v>
      </c>
      <c r="C36" s="40"/>
      <c r="D36" s="40">
        <v>8.4790000000000004E-3</v>
      </c>
      <c r="E36" s="40">
        <v>9.1</v>
      </c>
      <c r="F36" s="40">
        <v>0.78</v>
      </c>
      <c r="G36" s="40">
        <v>0.1135</v>
      </c>
      <c r="H36" s="49">
        <f t="shared" ref="H36:H37" si="0">ROUND((5.75*LOG10((2*F36/G36)))^(-2),3)</f>
        <v>2.3E-2</v>
      </c>
      <c r="I36" s="50">
        <f>ROUND(1/SQRT(H36),2)</f>
        <v>6.59</v>
      </c>
      <c r="J36" s="49">
        <f>ROUND(SQRT(H36*F36^(1/3)/9.8),3)</f>
        <v>4.5999999999999999E-2</v>
      </c>
    </row>
    <row r="37" spans="2:10" x14ac:dyDescent="0.35">
      <c r="B37" s="40" t="s">
        <v>134</v>
      </c>
      <c r="C37" s="40"/>
      <c r="D37" s="40">
        <v>2.1467E-2</v>
      </c>
      <c r="E37" s="40">
        <v>5.5</v>
      </c>
      <c r="F37" s="40">
        <v>0.72</v>
      </c>
      <c r="G37" s="40">
        <v>0.1096</v>
      </c>
      <c r="H37" s="49">
        <f t="shared" si="0"/>
        <v>2.4E-2</v>
      </c>
      <c r="I37" s="50">
        <f>ROUND(1/SQRT(H37),2)</f>
        <v>6.45</v>
      </c>
      <c r="J37" s="49">
        <f>ROUND(SQRT(H37*F37^(1/3)/9.8),3)</f>
        <v>4.7E-2</v>
      </c>
    </row>
    <row r="38" spans="2:10" x14ac:dyDescent="0.35">
      <c r="B38" s="40" t="s">
        <v>139</v>
      </c>
      <c r="C38" s="40"/>
      <c r="D38" s="40">
        <v>5.0000000000000001E-3</v>
      </c>
      <c r="E38" s="40">
        <v>5</v>
      </c>
      <c r="F38" s="40">
        <v>1</v>
      </c>
      <c r="G38" s="41" t="s">
        <v>135</v>
      </c>
      <c r="H38" s="50">
        <f>ROUND(J38^2*9.8/F38^(1/3),2)</f>
        <v>0.52</v>
      </c>
      <c r="I38" s="50">
        <f>ROUND(1/SQRT(H38),2)</f>
        <v>1.39</v>
      </c>
      <c r="J38" s="50">
        <v>0.23</v>
      </c>
    </row>
    <row r="39" spans="2:10" x14ac:dyDescent="0.35">
      <c r="B39" s="40" t="s">
        <v>140</v>
      </c>
      <c r="C39" s="40"/>
      <c r="D39" s="40"/>
      <c r="E39" s="40"/>
      <c r="F39" s="40"/>
      <c r="G39" s="40"/>
      <c r="H39" s="40"/>
      <c r="I39" s="40"/>
      <c r="J39" s="40"/>
    </row>
    <row r="51" spans="2:9" x14ac:dyDescent="0.35">
      <c r="B51" s="1"/>
      <c r="H51" s="1"/>
      <c r="I51" s="1"/>
    </row>
  </sheetData>
  <dataValidations count="1">
    <dataValidation allowBlank="1" showInputMessage="1" showErrorMessage="1" promptTitle="Sample Input [Usway Burn]" prompt="C_f = 0.023_x000a_C_z = 6.54_x000a_n = 0.047 _x000a_Ds50 = 0.1135_x000a_See table in (3) for further example site characteristics. " sqref="D21:D22" xr:uid="{67614A15-8C7E-3D4F-9527-87840F3CD7B0}"/>
  </dataValidations>
  <pageMargins left="0.7" right="0.7" top="0.75" bottom="0.75" header="0.3" footer="0.3"/>
  <pageSetup paperSize="9" orientation="portrait" horizontalDpi="0" verticalDpi="0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30" r:id="rId3" name="Option Button 6">
              <controlPr locked="0" defaultSize="0" autoFill="0" autoLine="0" autoPict="0">
                <anchor moveWithCells="1">
                  <from>
                    <xdr:col>2</xdr:col>
                    <xdr:colOff>50800</xdr:colOff>
                    <xdr:row>9</xdr:row>
                    <xdr:rowOff>38100</xdr:rowOff>
                  </from>
                  <to>
                    <xdr:col>4</xdr:col>
                    <xdr:colOff>355600</xdr:colOff>
                    <xdr:row>11</xdr:row>
                    <xdr:rowOff>101600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1" r:id="rId4" name="Option Button 7">
              <controlPr defaultSize="0" autoFill="0" autoLine="0" autoPict="0">
                <anchor moveWithCells="1">
                  <from>
                    <xdr:col>2</xdr:col>
                    <xdr:colOff>50800</xdr:colOff>
                    <xdr:row>11</xdr:row>
                    <xdr:rowOff>63500</xdr:rowOff>
                  </from>
                  <to>
                    <xdr:col>4</xdr:col>
                    <xdr:colOff>431800</xdr:colOff>
                    <xdr:row>13</xdr:row>
                    <xdr:rowOff>88900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3" r:id="rId5" name="Option Button 9">
              <controlPr defaultSize="0" autoFill="0" autoLine="0" autoPict="0">
                <anchor moveWithCells="1">
                  <from>
                    <xdr:col>2</xdr:col>
                    <xdr:colOff>50800</xdr:colOff>
                    <xdr:row>13</xdr:row>
                    <xdr:rowOff>38100</xdr:rowOff>
                  </from>
                  <to>
                    <xdr:col>4</xdr:col>
                    <xdr:colOff>431800</xdr:colOff>
                    <xdr:row>15</xdr:row>
                    <xdr:rowOff>88900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4" r:id="rId6" name="Option Button 10">
              <controlPr defaultSize="0" autoFill="0" autoLine="0" autoPict="0">
                <anchor moveWithCells="1">
                  <from>
                    <xdr:col>2</xdr:col>
                    <xdr:colOff>76200</xdr:colOff>
                    <xdr:row>15</xdr:row>
                    <xdr:rowOff>38100</xdr:rowOff>
                  </from>
                  <to>
                    <xdr:col>8</xdr:col>
                    <xdr:colOff>406400</xdr:colOff>
                    <xdr:row>17</xdr:row>
                    <xdr:rowOff>88900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5" r:id="rId7" name="Option Button 11">
              <controlPr defaultSize="0" autoFill="0" autoLine="0" autoPict="0">
                <anchor moveWithCells="1">
                  <from>
                    <xdr:col>2</xdr:col>
                    <xdr:colOff>76200</xdr:colOff>
                    <xdr:row>17</xdr:row>
                    <xdr:rowOff>38100</xdr:rowOff>
                  </from>
                  <to>
                    <xdr:col>8</xdr:col>
                    <xdr:colOff>406400</xdr:colOff>
                    <xdr:row>20</xdr:row>
                    <xdr:rowOff>12700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0B0CA4-CB90-994F-8855-C1FCCE8A3253}">
  <sheetPr codeName="Sheet2"/>
  <dimension ref="B3:S52"/>
  <sheetViews>
    <sheetView topLeftCell="A11" zoomScale="90" zoomScaleNormal="70" workbookViewId="0">
      <selection activeCell="N23" sqref="N23"/>
    </sheetView>
  </sheetViews>
  <sheetFormatPr defaultColWidth="10.6640625" defaultRowHeight="15.5" x14ac:dyDescent="0.35"/>
  <cols>
    <col min="11" max="11" width="15.33203125" customWidth="1"/>
  </cols>
  <sheetData>
    <row r="3" spans="2:19" x14ac:dyDescent="0.35">
      <c r="B3" s="21" t="s">
        <v>61</v>
      </c>
      <c r="C3" s="11"/>
      <c r="D3" s="11"/>
      <c r="E3" s="11"/>
      <c r="F3" s="11"/>
      <c r="G3" s="11"/>
      <c r="H3" s="11"/>
      <c r="I3" s="11"/>
      <c r="J3" s="12"/>
      <c r="K3" s="7" t="s">
        <v>86</v>
      </c>
      <c r="L3" s="8"/>
      <c r="M3" s="8"/>
      <c r="N3" s="8"/>
      <c r="O3" s="8"/>
      <c r="P3" s="15"/>
      <c r="Q3" s="15"/>
      <c r="R3" s="15"/>
      <c r="S3" s="23"/>
    </row>
    <row r="4" spans="2:19" x14ac:dyDescent="0.35">
      <c r="B4" s="13" t="s">
        <v>97</v>
      </c>
      <c r="C4" s="22"/>
      <c r="D4" s="22"/>
      <c r="E4" s="22"/>
      <c r="F4" s="22"/>
      <c r="G4" s="22"/>
      <c r="H4" s="22"/>
      <c r="I4" s="22"/>
      <c r="J4" s="14"/>
      <c r="K4" s="9">
        <f>Calculations!Q8</f>
        <v>5.108603144398332</v>
      </c>
      <c r="L4" s="24" t="s">
        <v>37</v>
      </c>
      <c r="M4" s="24" t="s">
        <v>143</v>
      </c>
      <c r="N4" s="24"/>
      <c r="O4" s="24"/>
      <c r="P4" s="25"/>
      <c r="Q4" s="25"/>
      <c r="R4" s="25"/>
      <c r="S4" s="26"/>
    </row>
    <row r="5" spans="2:19" x14ac:dyDescent="0.35">
      <c r="B5" s="13"/>
      <c r="C5" s="22"/>
      <c r="D5" s="22"/>
      <c r="E5" s="22"/>
      <c r="F5" s="22"/>
      <c r="G5" s="22"/>
      <c r="H5" s="22"/>
      <c r="I5" s="22"/>
      <c r="J5" s="14"/>
      <c r="K5" s="10"/>
      <c r="L5" s="24"/>
      <c r="M5" s="24"/>
      <c r="N5" s="24"/>
      <c r="O5" s="24"/>
      <c r="P5" s="25"/>
      <c r="Q5" s="25"/>
      <c r="R5" s="25"/>
      <c r="S5" s="26"/>
    </row>
    <row r="6" spans="2:19" x14ac:dyDescent="0.35">
      <c r="B6" s="13"/>
      <c r="C6" s="22"/>
      <c r="D6" s="22"/>
      <c r="E6" s="22"/>
      <c r="F6" s="22"/>
      <c r="G6" s="22"/>
      <c r="H6" s="22"/>
      <c r="I6" s="22"/>
      <c r="J6" s="14"/>
      <c r="K6" s="5" t="s">
        <v>79</v>
      </c>
      <c r="L6" s="27"/>
      <c r="M6" s="27"/>
      <c r="N6" s="27"/>
      <c r="O6" s="27"/>
      <c r="P6" s="25"/>
      <c r="Q6" s="25"/>
      <c r="R6" s="25"/>
      <c r="S6" s="26"/>
    </row>
    <row r="7" spans="2:19" x14ac:dyDescent="0.35">
      <c r="B7" s="13"/>
      <c r="C7" s="22"/>
      <c r="D7" s="22"/>
      <c r="E7" s="22"/>
      <c r="F7" s="22"/>
      <c r="G7" s="22"/>
      <c r="H7" s="22"/>
      <c r="I7" s="22"/>
      <c r="J7" s="14"/>
      <c r="K7" s="6" t="s">
        <v>65</v>
      </c>
      <c r="L7" s="27"/>
      <c r="M7" s="27"/>
      <c r="N7" s="27"/>
      <c r="O7" s="27"/>
      <c r="P7" s="25"/>
      <c r="Q7" s="25"/>
      <c r="R7" s="25"/>
      <c r="S7" s="26"/>
    </row>
    <row r="8" spans="2:19" x14ac:dyDescent="0.35">
      <c r="B8" s="13"/>
      <c r="C8" s="22"/>
      <c r="D8" s="22"/>
      <c r="E8" s="22"/>
      <c r="F8" s="22"/>
      <c r="G8" s="22"/>
      <c r="H8" s="22"/>
      <c r="I8" s="22"/>
      <c r="J8" s="14"/>
      <c r="K8" s="6"/>
      <c r="L8" s="28">
        <f>ROUND(Calculations!AC4/2,0)/50</f>
        <v>1.66</v>
      </c>
      <c r="M8" s="27"/>
      <c r="N8" s="27"/>
      <c r="O8" s="27"/>
      <c r="P8" s="25"/>
      <c r="Q8" s="25"/>
      <c r="R8" s="25"/>
      <c r="S8" s="26"/>
    </row>
    <row r="9" spans="2:19" x14ac:dyDescent="0.35">
      <c r="B9" s="13"/>
      <c r="C9" s="22"/>
      <c r="D9" s="22"/>
      <c r="E9" s="22"/>
      <c r="F9" s="22"/>
      <c r="G9" s="22"/>
      <c r="H9" s="22"/>
      <c r="I9" s="22"/>
      <c r="J9" s="14"/>
      <c r="K9" s="6"/>
      <c r="L9" s="27"/>
      <c r="M9" s="27"/>
      <c r="N9" s="27"/>
      <c r="O9" s="27"/>
      <c r="P9" s="25"/>
      <c r="Q9" s="25"/>
      <c r="R9" s="25"/>
      <c r="S9" s="26"/>
    </row>
    <row r="10" spans="2:19" x14ac:dyDescent="0.35">
      <c r="B10" s="13"/>
      <c r="C10" s="22"/>
      <c r="D10" s="22"/>
      <c r="E10" s="22"/>
      <c r="F10" s="22"/>
      <c r="G10" s="22"/>
      <c r="H10" s="22"/>
      <c r="I10" s="22"/>
      <c r="J10" s="14"/>
      <c r="K10" s="6" t="s">
        <v>69</v>
      </c>
      <c r="L10" s="27"/>
      <c r="M10" s="27"/>
      <c r="N10" s="27"/>
      <c r="O10" s="27"/>
      <c r="P10" s="25"/>
      <c r="Q10" s="25"/>
      <c r="R10" s="25"/>
      <c r="S10" s="26"/>
    </row>
    <row r="11" spans="2:19" x14ac:dyDescent="0.35">
      <c r="B11" s="13"/>
      <c r="C11" s="22"/>
      <c r="D11" s="22"/>
      <c r="E11" s="22"/>
      <c r="F11" s="22"/>
      <c r="G11" s="22"/>
      <c r="H11" s="22"/>
      <c r="I11" s="22"/>
      <c r="J11" s="14"/>
      <c r="K11" s="6" t="s">
        <v>70</v>
      </c>
      <c r="L11" s="27" cm="1">
        <f t="array" aca="1" ref="L11" ca="1">ROUND(OFFSET(Calculations!W18:W136,MATCH(L8,Calculations!B18:B136/Calculations!B5,1),0,1),2)</f>
        <v>1.33</v>
      </c>
      <c r="M11" s="27" t="s">
        <v>73</v>
      </c>
      <c r="N11" s="27"/>
      <c r="O11" s="27"/>
      <c r="P11" s="25"/>
      <c r="Q11" s="25"/>
      <c r="R11" s="25"/>
      <c r="S11" s="26"/>
    </row>
    <row r="12" spans="2:19" x14ac:dyDescent="0.35">
      <c r="B12" s="13"/>
      <c r="C12" s="22"/>
      <c r="D12" s="22"/>
      <c r="E12" s="22"/>
      <c r="F12" s="22"/>
      <c r="G12" s="22"/>
      <c r="H12" s="22"/>
      <c r="I12" s="22"/>
      <c r="J12" s="14"/>
      <c r="K12" s="6" t="s">
        <v>19</v>
      </c>
      <c r="L12" s="27" cm="1">
        <f t="array" aca="1" ref="L12" ca="1">ROUND(OFFSET(Calculations!L18:L136,MATCH(L8*Calculations!B5,Calculations!B18:B136,1),0,1)/Calculations!B5,2)</f>
        <v>1.18</v>
      </c>
      <c r="M12" s="27" t="s">
        <v>142</v>
      </c>
      <c r="N12" s="27"/>
      <c r="O12" s="27"/>
      <c r="P12" s="25"/>
      <c r="Q12" s="25"/>
      <c r="R12" s="25"/>
      <c r="S12" s="26"/>
    </row>
    <row r="13" spans="2:19" x14ac:dyDescent="0.35">
      <c r="B13" s="13"/>
      <c r="C13" s="22"/>
      <c r="D13" s="22"/>
      <c r="E13" s="22"/>
      <c r="F13" s="22"/>
      <c r="G13" s="22"/>
      <c r="H13" s="22"/>
      <c r="I13" s="22"/>
      <c r="J13" s="14"/>
      <c r="K13" s="9" t="s">
        <v>117</v>
      </c>
      <c r="L13" s="24" cm="1">
        <f t="array" aca="1" ref="L13" ca="1">ROUND(OFFSET(Calculations!T18:T137,MATCH(L8,Calculations!Y18:Y137,1),0,1),2)</f>
        <v>20.51</v>
      </c>
      <c r="M13" s="24" t="s">
        <v>119</v>
      </c>
      <c r="N13" s="24"/>
      <c r="O13" s="24"/>
      <c r="P13" s="24"/>
      <c r="Q13" s="25"/>
      <c r="R13" s="25"/>
      <c r="S13" s="26"/>
    </row>
    <row r="14" spans="2:19" x14ac:dyDescent="0.35">
      <c r="B14" s="13"/>
      <c r="C14" s="22"/>
      <c r="D14" s="22"/>
      <c r="E14" s="22"/>
      <c r="F14" s="22"/>
      <c r="G14" s="22"/>
      <c r="H14" s="22"/>
      <c r="I14" s="22"/>
      <c r="J14" s="14"/>
      <c r="K14" s="9" t="s">
        <v>116</v>
      </c>
      <c r="L14" s="24" cm="1">
        <f t="array" aca="1" ref="L14" ca="1">ROUND(OFFSET(Calculations!U18:U137,MATCH(L8,Calculations!Y18:Y137,1),0,1),2)</f>
        <v>70.739999999999995</v>
      </c>
      <c r="M14" s="24" t="s">
        <v>120</v>
      </c>
      <c r="N14" s="24"/>
      <c r="O14" s="24"/>
      <c r="P14" s="24"/>
      <c r="Q14" s="25"/>
      <c r="R14" s="25"/>
      <c r="S14" s="26"/>
    </row>
    <row r="15" spans="2:19" x14ac:dyDescent="0.35">
      <c r="B15" s="13"/>
      <c r="C15" s="22"/>
      <c r="D15" s="22"/>
      <c r="E15" s="22"/>
      <c r="F15" s="22"/>
      <c r="G15" s="22"/>
      <c r="H15" s="22"/>
      <c r="I15" s="22"/>
      <c r="J15" s="14"/>
      <c r="K15" s="9" t="s">
        <v>118</v>
      </c>
      <c r="L15" s="24" cm="1">
        <f t="array" aca="1" ref="L15" ca="1">ROUND(OFFSET(Calculations!V18:V137,MATCH(L8,Calculations!Y18:Y137,1),0,1),2)</f>
        <v>91.25</v>
      </c>
      <c r="M15" s="24" t="s">
        <v>121</v>
      </c>
      <c r="N15" s="24"/>
      <c r="O15" s="24"/>
      <c r="P15" s="24"/>
      <c r="Q15" s="25"/>
      <c r="R15" s="25"/>
      <c r="S15" s="26"/>
    </row>
    <row r="16" spans="2:19" x14ac:dyDescent="0.35">
      <c r="B16" s="13"/>
      <c r="C16" s="22"/>
      <c r="D16" s="22"/>
      <c r="E16" s="22"/>
      <c r="F16" s="22"/>
      <c r="G16" s="22"/>
      <c r="H16" s="22"/>
      <c r="I16" s="22"/>
      <c r="J16" s="14"/>
      <c r="K16" s="9" t="s">
        <v>60</v>
      </c>
      <c r="L16" s="24" cm="1">
        <f t="array" aca="1" ref="L16" ca="1">ROUND(OFFSET(Calculations!Q18:Q137,MATCH(L8,Calculations!Y18:Y137,1),0,1),2)</f>
        <v>96.42</v>
      </c>
      <c r="M16" s="24" t="s">
        <v>74</v>
      </c>
      <c r="N16" s="24"/>
      <c r="O16" s="24"/>
      <c r="P16" s="25"/>
      <c r="Q16" s="25"/>
      <c r="R16" s="25"/>
      <c r="S16" s="26"/>
    </row>
    <row r="17" spans="2:19" x14ac:dyDescent="0.35">
      <c r="B17" s="13"/>
      <c r="C17" s="22"/>
      <c r="D17" s="22"/>
      <c r="E17" s="22"/>
      <c r="F17" s="22"/>
      <c r="G17" s="22"/>
      <c r="H17" s="22"/>
      <c r="I17" s="22"/>
      <c r="J17" s="14"/>
      <c r="K17" s="9" t="s">
        <v>71</v>
      </c>
      <c r="L17" s="24" cm="1">
        <f t="array" aca="1" ref="L17" ca="1">ROUND(OFFSET(Calculations!P18:P137,MATCH(L8,Calculations!X18:X138,1),0,1),2)</f>
        <v>85.18</v>
      </c>
      <c r="M17" s="24" t="s">
        <v>75</v>
      </c>
      <c r="N17" s="24"/>
      <c r="O17" s="24"/>
      <c r="P17" s="25"/>
      <c r="Q17" s="25"/>
      <c r="R17" s="25"/>
      <c r="S17" s="26"/>
    </row>
    <row r="18" spans="2:19" x14ac:dyDescent="0.35">
      <c r="B18" s="13"/>
      <c r="C18" s="22"/>
      <c r="D18" s="22"/>
      <c r="E18" s="22"/>
      <c r="F18" s="22"/>
      <c r="G18" s="22"/>
      <c r="H18" s="22"/>
      <c r="I18" s="22"/>
      <c r="J18" s="14"/>
      <c r="K18" s="9" t="s">
        <v>72</v>
      </c>
      <c r="L18" s="24" cm="1">
        <f t="array" aca="1" ref="L18" ca="1">ROUND(OFFSET(Calculations!R18:R137,MATCH(L8,Calculations!Y18:Y137,1),0,1),2)</f>
        <v>481.9</v>
      </c>
      <c r="M18" s="24" t="s">
        <v>76</v>
      </c>
      <c r="N18" s="24"/>
      <c r="O18" s="24"/>
      <c r="P18" s="25"/>
      <c r="Q18" s="25"/>
      <c r="R18" s="25"/>
      <c r="S18" s="26"/>
    </row>
    <row r="19" spans="2:19" x14ac:dyDescent="0.35">
      <c r="B19" s="13"/>
      <c r="C19" s="22"/>
      <c r="D19" s="22"/>
      <c r="E19" s="22"/>
      <c r="F19" s="22"/>
      <c r="G19" s="22"/>
      <c r="H19" s="22"/>
      <c r="I19" s="22"/>
      <c r="J19" s="14"/>
      <c r="K19" s="9" t="s">
        <v>77</v>
      </c>
      <c r="L19" s="24" cm="1">
        <f t="array" aca="1" ref="L19" ca="1">ROUND(OFFSET(Calculations!S18:S137,MATCH(L8,Calculations!Y18:Y137,1),0,1),2)</f>
        <v>621.63</v>
      </c>
      <c r="M19" s="24" t="s">
        <v>78</v>
      </c>
      <c r="N19" s="24"/>
      <c r="O19" s="24"/>
      <c r="P19" s="25"/>
      <c r="Q19" s="25"/>
      <c r="R19" s="25"/>
      <c r="S19" s="26"/>
    </row>
    <row r="20" spans="2:19" x14ac:dyDescent="0.35">
      <c r="B20" s="13" t="s">
        <v>144</v>
      </c>
      <c r="C20" s="22"/>
      <c r="D20" s="22"/>
      <c r="E20" s="22"/>
      <c r="F20" s="22"/>
      <c r="G20" s="22"/>
      <c r="H20" s="22"/>
      <c r="I20" s="22"/>
      <c r="J20" s="14"/>
      <c r="K20" s="36"/>
      <c r="L20" s="37"/>
      <c r="M20" s="37"/>
      <c r="N20" s="37"/>
      <c r="O20" s="37"/>
      <c r="P20" s="37"/>
      <c r="Q20" s="16"/>
      <c r="R20" s="16"/>
      <c r="S20" s="29"/>
    </row>
    <row r="21" spans="2:19" x14ac:dyDescent="0.35">
      <c r="B21" s="13"/>
      <c r="C21" s="22"/>
      <c r="D21" s="22"/>
      <c r="E21" s="22"/>
      <c r="F21" s="22"/>
      <c r="G21" s="22"/>
      <c r="H21" s="22"/>
      <c r="I21" s="22"/>
      <c r="J21" s="14"/>
    </row>
    <row r="22" spans="2:19" x14ac:dyDescent="0.35">
      <c r="B22" s="13"/>
      <c r="C22" s="22"/>
      <c r="D22" s="22"/>
      <c r="E22" s="22"/>
      <c r="F22" s="22"/>
      <c r="G22" s="22"/>
      <c r="H22" s="22"/>
      <c r="I22" s="22"/>
      <c r="J22" s="14"/>
    </row>
    <row r="23" spans="2:19" x14ac:dyDescent="0.35">
      <c r="B23" s="13"/>
      <c r="C23" s="22"/>
      <c r="D23" s="22"/>
      <c r="E23" s="22"/>
      <c r="F23" s="22"/>
      <c r="G23" s="22"/>
      <c r="H23" s="22"/>
      <c r="I23" s="22"/>
      <c r="J23" s="14"/>
    </row>
    <row r="24" spans="2:19" x14ac:dyDescent="0.35">
      <c r="B24" s="13"/>
      <c r="C24" s="22"/>
      <c r="D24" s="22"/>
      <c r="E24" s="22"/>
      <c r="F24" s="22"/>
      <c r="G24" s="22"/>
      <c r="H24" s="22"/>
      <c r="I24" s="22"/>
      <c r="J24" s="14"/>
    </row>
    <row r="25" spans="2:19" x14ac:dyDescent="0.35">
      <c r="B25" s="13"/>
      <c r="C25" s="22"/>
      <c r="D25" s="22"/>
      <c r="E25" s="22"/>
      <c r="F25" s="22"/>
      <c r="G25" s="22"/>
      <c r="H25" s="22"/>
      <c r="I25" s="22"/>
      <c r="J25" s="14"/>
    </row>
    <row r="26" spans="2:19" x14ac:dyDescent="0.35">
      <c r="B26" s="13"/>
      <c r="C26" s="22"/>
      <c r="D26" s="22"/>
      <c r="E26" s="22"/>
      <c r="F26" s="22"/>
      <c r="G26" s="22"/>
      <c r="H26" s="22"/>
      <c r="I26" s="22"/>
      <c r="J26" s="14"/>
    </row>
    <row r="27" spans="2:19" x14ac:dyDescent="0.35">
      <c r="B27" s="13"/>
      <c r="C27" s="22"/>
      <c r="D27" s="22"/>
      <c r="E27" s="22"/>
      <c r="F27" s="22"/>
      <c r="G27" s="22"/>
      <c r="H27" s="22"/>
      <c r="I27" s="22"/>
      <c r="J27" s="14"/>
    </row>
    <row r="28" spans="2:19" x14ac:dyDescent="0.35">
      <c r="B28" s="13"/>
      <c r="C28" s="22"/>
      <c r="D28" s="22"/>
      <c r="E28" s="22"/>
      <c r="F28" s="22"/>
      <c r="G28" s="22"/>
      <c r="H28" s="22"/>
      <c r="I28" s="22"/>
      <c r="J28" s="14"/>
    </row>
    <row r="29" spans="2:19" x14ac:dyDescent="0.35">
      <c r="B29" s="13"/>
      <c r="C29" s="22"/>
      <c r="D29" s="22"/>
      <c r="E29" s="22"/>
      <c r="F29" s="22"/>
      <c r="G29" s="22"/>
      <c r="H29" s="22"/>
      <c r="I29" s="22"/>
      <c r="J29" s="14"/>
    </row>
    <row r="30" spans="2:19" x14ac:dyDescent="0.35">
      <c r="B30" s="13"/>
      <c r="C30" s="22"/>
      <c r="D30" s="22"/>
      <c r="E30" s="22"/>
      <c r="F30" s="22"/>
      <c r="G30" s="22"/>
      <c r="H30" s="22"/>
      <c r="I30" s="22"/>
      <c r="J30" s="14"/>
    </row>
    <row r="31" spans="2:19" x14ac:dyDescent="0.35">
      <c r="B31" s="13"/>
      <c r="C31" s="22"/>
      <c r="D31" s="22"/>
      <c r="E31" s="22"/>
      <c r="F31" s="22"/>
      <c r="G31" s="22"/>
      <c r="H31" s="22"/>
      <c r="I31" s="22"/>
      <c r="J31" s="14"/>
    </row>
    <row r="32" spans="2:19" x14ac:dyDescent="0.35">
      <c r="B32" s="13"/>
      <c r="C32" s="22"/>
      <c r="D32" s="22"/>
      <c r="E32" s="22"/>
      <c r="F32" s="22"/>
      <c r="G32" s="22"/>
      <c r="H32" s="22"/>
      <c r="I32" s="22"/>
      <c r="J32" s="14"/>
    </row>
    <row r="33" spans="2:10" x14ac:dyDescent="0.35">
      <c r="B33" s="13"/>
      <c r="C33" s="22"/>
      <c r="D33" s="22"/>
      <c r="E33" s="22"/>
      <c r="F33" s="22"/>
      <c r="G33" s="22"/>
      <c r="H33" s="22"/>
      <c r="I33" s="22"/>
      <c r="J33" s="14"/>
    </row>
    <row r="34" spans="2:10" x14ac:dyDescent="0.35">
      <c r="B34" s="13"/>
      <c r="C34" s="22"/>
      <c r="D34" s="22"/>
      <c r="E34" s="22"/>
      <c r="F34" s="22"/>
      <c r="G34" s="22"/>
      <c r="H34" s="22"/>
      <c r="I34" s="22"/>
      <c r="J34" s="14"/>
    </row>
    <row r="35" spans="2:10" x14ac:dyDescent="0.35">
      <c r="B35" s="13"/>
      <c r="C35" s="22"/>
      <c r="D35" s="22"/>
      <c r="E35" s="22"/>
      <c r="F35" s="22"/>
      <c r="G35" s="22"/>
      <c r="H35" s="22"/>
      <c r="I35" s="22"/>
      <c r="J35" s="14"/>
    </row>
    <row r="36" spans="2:10" x14ac:dyDescent="0.35">
      <c r="B36" s="13" t="s">
        <v>62</v>
      </c>
      <c r="C36" s="22"/>
      <c r="D36" s="22"/>
      <c r="E36" s="22"/>
      <c r="F36" s="22"/>
      <c r="G36" s="22"/>
      <c r="H36" s="22"/>
      <c r="I36" s="22"/>
      <c r="J36" s="14"/>
    </row>
    <row r="37" spans="2:10" x14ac:dyDescent="0.35">
      <c r="B37" s="13"/>
      <c r="C37" s="22"/>
      <c r="D37" s="22"/>
      <c r="E37" s="22"/>
      <c r="F37" s="22"/>
      <c r="G37" s="22"/>
      <c r="H37" s="22"/>
      <c r="I37" s="22"/>
      <c r="J37" s="14"/>
    </row>
    <row r="38" spans="2:10" x14ac:dyDescent="0.35">
      <c r="B38" s="13"/>
      <c r="C38" s="22"/>
      <c r="D38" s="22"/>
      <c r="E38" s="22"/>
      <c r="F38" s="22"/>
      <c r="G38" s="22"/>
      <c r="H38" s="22"/>
      <c r="I38" s="22"/>
      <c r="J38" s="14"/>
    </row>
    <row r="39" spans="2:10" x14ac:dyDescent="0.35">
      <c r="B39" s="13"/>
      <c r="C39" s="22"/>
      <c r="D39" s="22"/>
      <c r="E39" s="22"/>
      <c r="F39" s="22"/>
      <c r="G39" s="22"/>
      <c r="H39" s="22"/>
      <c r="I39" s="22"/>
      <c r="J39" s="14"/>
    </row>
    <row r="40" spans="2:10" x14ac:dyDescent="0.35">
      <c r="B40" s="13"/>
      <c r="C40" s="22"/>
      <c r="D40" s="22"/>
      <c r="E40" s="22"/>
      <c r="F40" s="22"/>
      <c r="G40" s="22"/>
      <c r="H40" s="22"/>
      <c r="I40" s="22"/>
      <c r="J40" s="14"/>
    </row>
    <row r="41" spans="2:10" x14ac:dyDescent="0.35">
      <c r="B41" s="13"/>
      <c r="C41" s="22"/>
      <c r="D41" s="22"/>
      <c r="E41" s="22"/>
      <c r="F41" s="22"/>
      <c r="G41" s="22"/>
      <c r="H41" s="22"/>
      <c r="I41" s="22"/>
      <c r="J41" s="14"/>
    </row>
    <row r="42" spans="2:10" x14ac:dyDescent="0.35">
      <c r="B42" s="13"/>
      <c r="C42" s="22"/>
      <c r="D42" s="22"/>
      <c r="E42" s="22"/>
      <c r="F42" s="22"/>
      <c r="G42" s="22"/>
      <c r="H42" s="22"/>
      <c r="I42" s="22"/>
      <c r="J42" s="14"/>
    </row>
    <row r="43" spans="2:10" x14ac:dyDescent="0.35">
      <c r="B43" s="13"/>
      <c r="C43" s="22"/>
      <c r="D43" s="22"/>
      <c r="E43" s="22"/>
      <c r="F43" s="22"/>
      <c r="G43" s="22"/>
      <c r="H43" s="22"/>
      <c r="I43" s="22"/>
      <c r="J43" s="14"/>
    </row>
    <row r="44" spans="2:10" x14ac:dyDescent="0.35">
      <c r="B44" s="13"/>
      <c r="C44" s="22"/>
      <c r="D44" s="22"/>
      <c r="E44" s="22"/>
      <c r="F44" s="22"/>
      <c r="G44" s="22"/>
      <c r="H44" s="22"/>
      <c r="I44" s="22"/>
      <c r="J44" s="14"/>
    </row>
    <row r="45" spans="2:10" x14ac:dyDescent="0.35">
      <c r="B45" s="13"/>
      <c r="C45" s="22"/>
      <c r="D45" s="22"/>
      <c r="E45" s="22"/>
      <c r="F45" s="22"/>
      <c r="G45" s="22"/>
      <c r="H45" s="22"/>
      <c r="I45" s="22"/>
      <c r="J45" s="14"/>
    </row>
    <row r="46" spans="2:10" x14ac:dyDescent="0.35">
      <c r="B46" s="13"/>
      <c r="C46" s="22"/>
      <c r="D46" s="22"/>
      <c r="E46" s="22"/>
      <c r="F46" s="22"/>
      <c r="G46" s="22"/>
      <c r="H46" s="22"/>
      <c r="I46" s="22"/>
      <c r="J46" s="14"/>
    </row>
    <row r="47" spans="2:10" x14ac:dyDescent="0.35">
      <c r="B47" s="13"/>
      <c r="C47" s="22"/>
      <c r="D47" s="22"/>
      <c r="E47" s="22"/>
      <c r="F47" s="22"/>
      <c r="G47" s="22"/>
      <c r="H47" s="22"/>
      <c r="I47" s="22"/>
      <c r="J47" s="14"/>
    </row>
    <row r="48" spans="2:10" x14ac:dyDescent="0.35">
      <c r="B48" s="13"/>
      <c r="C48" s="22"/>
      <c r="D48" s="22"/>
      <c r="E48" s="22"/>
      <c r="F48" s="22"/>
      <c r="G48" s="22"/>
      <c r="H48" s="22"/>
      <c r="I48" s="22"/>
      <c r="J48" s="14"/>
    </row>
    <row r="49" spans="2:10" x14ac:dyDescent="0.35">
      <c r="B49" s="13"/>
      <c r="C49" s="22"/>
      <c r="D49" s="22"/>
      <c r="E49" s="22"/>
      <c r="F49" s="22"/>
      <c r="G49" s="22"/>
      <c r="H49" s="22"/>
      <c r="I49" s="22"/>
      <c r="J49" s="14"/>
    </row>
    <row r="50" spans="2:10" x14ac:dyDescent="0.35">
      <c r="B50" s="13"/>
      <c r="C50" s="22"/>
      <c r="D50" s="22"/>
      <c r="E50" s="22"/>
      <c r="F50" s="22"/>
      <c r="G50" s="22"/>
      <c r="H50" s="22"/>
      <c r="I50" s="22"/>
      <c r="J50" s="14"/>
    </row>
    <row r="51" spans="2:10" x14ac:dyDescent="0.35">
      <c r="B51" s="34"/>
      <c r="C51" s="33"/>
      <c r="D51" s="33"/>
      <c r="E51" s="33"/>
      <c r="F51" s="33"/>
      <c r="G51" s="33"/>
      <c r="H51" s="33"/>
      <c r="I51" s="33"/>
      <c r="J51" s="35"/>
    </row>
    <row r="52" spans="2:10" x14ac:dyDescent="0.35">
      <c r="B52" s="30"/>
      <c r="C52" s="31"/>
      <c r="D52" s="31"/>
      <c r="E52" s="31"/>
      <c r="F52" s="31"/>
      <c r="G52" s="31"/>
      <c r="H52" s="31"/>
      <c r="I52" s="31"/>
      <c r="J52" s="32"/>
    </row>
  </sheetData>
  <pageMargins left="0.7" right="0.7" top="0.75" bottom="0.75" header="0.3" footer="0.3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097" r:id="rId3" name="Scroll Bar 1">
              <controlPr defaultSize="0" autoPict="0">
                <anchor moveWithCells="1">
                  <from>
                    <xdr:col>12</xdr:col>
                    <xdr:colOff>12700</xdr:colOff>
                    <xdr:row>7</xdr:row>
                    <xdr:rowOff>25400</xdr:rowOff>
                  </from>
                  <to>
                    <xdr:col>15</xdr:col>
                    <xdr:colOff>76200</xdr:colOff>
                    <xdr:row>9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43914F-F78B-4341-A62C-38BC05D26FA7}">
  <sheetPr codeName="Sheet6"/>
  <dimension ref="A2:AF137"/>
  <sheetViews>
    <sheetView zoomScale="93" zoomScaleNormal="93" workbookViewId="0">
      <selection activeCell="N18" sqref="N18"/>
    </sheetView>
  </sheetViews>
  <sheetFormatPr defaultColWidth="10.6640625" defaultRowHeight="15.5" x14ac:dyDescent="0.35"/>
  <cols>
    <col min="4" max="4" width="16.1640625" customWidth="1"/>
    <col min="5" max="5" width="14.6640625" customWidth="1"/>
    <col min="6" max="6" width="18.6640625" customWidth="1"/>
    <col min="10" max="12" width="13.33203125" bestFit="1" customWidth="1"/>
    <col min="14" max="15" width="13.33203125" bestFit="1" customWidth="1"/>
    <col min="16" max="16" width="14" bestFit="1" customWidth="1"/>
    <col min="18" max="18" width="13.33203125" bestFit="1" customWidth="1"/>
    <col min="23" max="23" width="13.33203125" bestFit="1" customWidth="1"/>
  </cols>
  <sheetData>
    <row r="2" spans="1:32" x14ac:dyDescent="0.35">
      <c r="A2" s="2" t="s">
        <v>31</v>
      </c>
      <c r="B2" s="3"/>
      <c r="C2" s="3"/>
      <c r="D2" s="3"/>
      <c r="E2" s="3"/>
      <c r="F2" s="3"/>
      <c r="G2" s="3"/>
      <c r="Q2" s="1" t="s">
        <v>127</v>
      </c>
      <c r="X2" s="1" t="s">
        <v>125</v>
      </c>
      <c r="AC2" s="1" t="s">
        <v>126</v>
      </c>
    </row>
    <row r="3" spans="1:32" x14ac:dyDescent="0.35">
      <c r="A3" s="2" t="s">
        <v>29</v>
      </c>
      <c r="I3" s="1" t="s">
        <v>28</v>
      </c>
      <c r="Q3">
        <v>9.8000000000000007</v>
      </c>
      <c r="R3" t="s">
        <v>13</v>
      </c>
      <c r="S3" t="s">
        <v>25</v>
      </c>
      <c r="X3" s="20" t="s">
        <v>123</v>
      </c>
      <c r="Y3" s="20"/>
      <c r="Z3" s="20"/>
      <c r="AA3" s="20"/>
      <c r="AB3" s="20"/>
      <c r="AC3" t="s">
        <v>66</v>
      </c>
      <c r="AE3">
        <f>197/2</f>
        <v>98.5</v>
      </c>
    </row>
    <row r="4" spans="1:32" x14ac:dyDescent="0.35">
      <c r="A4" s="3" t="s">
        <v>20</v>
      </c>
      <c r="B4" s="3">
        <f>Input!C3</f>
        <v>5.0000000000000001E-3</v>
      </c>
      <c r="C4" s="3" t="s">
        <v>6</v>
      </c>
      <c r="D4" s="3" t="s">
        <v>14</v>
      </c>
      <c r="E4" s="3"/>
      <c r="F4" s="3"/>
      <c r="G4" s="3"/>
      <c r="I4" s="1" t="s">
        <v>87</v>
      </c>
      <c r="Q4" s="42">
        <f>2*Calculations!I11/(3*SQRT(3)*Calculations!B4*Input!C26^3)</f>
        <v>14.164326604118818</v>
      </c>
      <c r="R4" t="s">
        <v>26</v>
      </c>
      <c r="S4" t="s">
        <v>27</v>
      </c>
      <c r="X4" s="20">
        <f>K50</f>
        <v>0.66533640512373859</v>
      </c>
      <c r="Y4" s="20" t="s">
        <v>122</v>
      </c>
      <c r="Z4" s="20"/>
      <c r="AA4" s="20"/>
      <c r="AB4" s="20"/>
      <c r="AC4">
        <v>165</v>
      </c>
      <c r="AE4">
        <f>ROUND(AE3,0)</f>
        <v>99</v>
      </c>
      <c r="AF4">
        <f>AE4/50</f>
        <v>1.98</v>
      </c>
    </row>
    <row r="5" spans="1:32" x14ac:dyDescent="0.35">
      <c r="A5" s="3" t="s">
        <v>21</v>
      </c>
      <c r="B5" s="3">
        <f>Input!C4</f>
        <v>1</v>
      </c>
      <c r="C5" s="3" t="s">
        <v>0</v>
      </c>
      <c r="D5" s="3" t="s">
        <v>15</v>
      </c>
      <c r="E5" s="3"/>
      <c r="F5" s="3"/>
      <c r="G5" s="3"/>
      <c r="I5">
        <v>1</v>
      </c>
      <c r="J5" t="s">
        <v>88</v>
      </c>
      <c r="Q5">
        <f>B5/(0.5*(B7-B6))</f>
        <v>2</v>
      </c>
      <c r="R5" t="s">
        <v>32</v>
      </c>
      <c r="S5" t="s">
        <v>33</v>
      </c>
      <c r="X5" s="20">
        <f>MATCH(X4,F18:F137,1)</f>
        <v>17</v>
      </c>
      <c r="Y5" s="20" t="s">
        <v>51</v>
      </c>
      <c r="Z5" s="20"/>
      <c r="AA5" s="20"/>
      <c r="AB5" s="20"/>
      <c r="AC5" t="s">
        <v>67</v>
      </c>
    </row>
    <row r="6" spans="1:32" x14ac:dyDescent="0.35">
      <c r="A6" s="3" t="s">
        <v>22</v>
      </c>
      <c r="B6" s="3">
        <f>Input!C5</f>
        <v>3</v>
      </c>
      <c r="C6" s="3" t="s">
        <v>0</v>
      </c>
      <c r="D6" s="3" t="s">
        <v>16</v>
      </c>
      <c r="E6" s="3"/>
      <c r="F6" s="3"/>
      <c r="G6" s="3"/>
      <c r="I6">
        <f>IF(I5=1,Input!B11,0)</f>
        <v>2.3E-2</v>
      </c>
      <c r="J6" t="s">
        <v>89</v>
      </c>
      <c r="Q6">
        <f>1/(0.5*(B8-B7))</f>
        <v>0.5</v>
      </c>
      <c r="R6" t="s">
        <v>35</v>
      </c>
      <c r="S6" t="s">
        <v>34</v>
      </c>
      <c r="X6" t="s">
        <v>50</v>
      </c>
      <c r="Y6" t="s">
        <v>53</v>
      </c>
      <c r="AC6" t="s">
        <v>68</v>
      </c>
    </row>
    <row r="7" spans="1:32" x14ac:dyDescent="0.35">
      <c r="A7" s="3" t="s">
        <v>23</v>
      </c>
      <c r="B7" s="3">
        <f>Input!C6</f>
        <v>4</v>
      </c>
      <c r="C7" s="3" t="s">
        <v>0</v>
      </c>
      <c r="D7" s="3" t="s">
        <v>17</v>
      </c>
      <c r="E7" s="3"/>
      <c r="F7" s="3"/>
      <c r="G7" s="3"/>
      <c r="I7">
        <f>IF(I5=2,1/Input!B13^2,0)</f>
        <v>0</v>
      </c>
      <c r="J7" t="s">
        <v>90</v>
      </c>
      <c r="Q7">
        <f>0.5*(B6+B7)*B5</f>
        <v>3.5</v>
      </c>
      <c r="R7" t="s">
        <v>40</v>
      </c>
      <c r="S7" t="s">
        <v>41</v>
      </c>
      <c r="X7" s="20" cm="1">
        <f t="array" aca="1" ref="X7:X8" ca="1">OFFSET(B18:B137,X5-1,0,2)</f>
        <v>0.26890756302521007</v>
      </c>
      <c r="Y7" s="20" cm="1">
        <f t="array" aca="1" ref="Y7:Y8" ca="1">OFFSET(F18:F137,X5-1,0,2)</f>
        <v>0.637970383319163</v>
      </c>
      <c r="Z7" s="20"/>
      <c r="AA7" s="20"/>
      <c r="AB7" s="20"/>
    </row>
    <row r="8" spans="1:32" x14ac:dyDescent="0.35">
      <c r="A8" s="3" t="s">
        <v>24</v>
      </c>
      <c r="B8" s="3">
        <f>Input!C7</f>
        <v>8</v>
      </c>
      <c r="C8" s="3" t="s">
        <v>0</v>
      </c>
      <c r="D8" s="3" t="s">
        <v>18</v>
      </c>
      <c r="E8" s="3"/>
      <c r="F8" s="3"/>
      <c r="G8" s="3"/>
      <c r="I8">
        <f>IF(I5=3,Input!B15^2*Q3/B5^(1/3),0)</f>
        <v>0</v>
      </c>
      <c r="J8" t="s">
        <v>91</v>
      </c>
      <c r="Q8">
        <f>Q7/B5*SQRT(B5^3*Q3*B4/I11)</f>
        <v>5.108603144398332</v>
      </c>
      <c r="R8" t="s">
        <v>37</v>
      </c>
      <c r="S8" t="s">
        <v>36</v>
      </c>
      <c r="X8">
        <f ca="1"/>
        <v>0.2857142857142857</v>
      </c>
      <c r="Y8" s="20">
        <f ca="1"/>
        <v>0.70057832438044365</v>
      </c>
      <c r="Z8" s="20"/>
      <c r="AA8" s="20"/>
      <c r="AB8" s="20"/>
      <c r="AC8" t="s">
        <v>80</v>
      </c>
    </row>
    <row r="9" spans="1:32" x14ac:dyDescent="0.35">
      <c r="A9" s="2" t="s">
        <v>30</v>
      </c>
      <c r="B9" s="3"/>
      <c r="C9" s="3"/>
      <c r="D9" s="3"/>
      <c r="E9" s="3"/>
      <c r="F9" s="3"/>
      <c r="G9" s="3"/>
      <c r="I9">
        <f>IF(I5=4,(5.75*LOG10((2*B5/Input!B17)))^(-2),0)</f>
        <v>0</v>
      </c>
      <c r="J9" t="s">
        <v>92</v>
      </c>
      <c r="N9">
        <f>50/910</f>
        <v>5.4945054945054944E-2</v>
      </c>
      <c r="Q9">
        <f>Q8/Q7</f>
        <v>1.4596008983995234</v>
      </c>
      <c r="R9" t="s">
        <v>38</v>
      </c>
      <c r="S9" t="s">
        <v>39</v>
      </c>
      <c r="X9" s="20"/>
      <c r="Y9" s="20"/>
      <c r="Z9" s="20"/>
      <c r="AA9" s="20"/>
      <c r="AB9" s="20"/>
      <c r="AC9">
        <f ca="1">Output!$L$11</f>
        <v>1.33</v>
      </c>
      <c r="AD9">
        <v>0</v>
      </c>
      <c r="AE9" t="s">
        <v>115</v>
      </c>
    </row>
    <row r="10" spans="1:32" x14ac:dyDescent="0.35">
      <c r="A10" s="3" t="s">
        <v>1</v>
      </c>
      <c r="B10" s="3">
        <f>Input!C24</f>
        <v>0</v>
      </c>
      <c r="C10" s="3" t="s">
        <v>0</v>
      </c>
      <c r="D10" s="3" t="s">
        <v>4</v>
      </c>
      <c r="E10" s="3"/>
      <c r="F10" s="3"/>
      <c r="G10" s="3"/>
      <c r="I10">
        <f>IF(I5=5,(5.75*LOG10(0.0535/B4^1.16))^(-2),0)</f>
        <v>0</v>
      </c>
      <c r="J10" t="s">
        <v>94</v>
      </c>
      <c r="Q10">
        <f>Q9/SQRT(Q3*B5)</f>
        <v>0.46625240412015695</v>
      </c>
      <c r="R10" t="s">
        <v>6</v>
      </c>
      <c r="S10" t="s">
        <v>42</v>
      </c>
      <c r="X10" s="20" t="s">
        <v>54</v>
      </c>
      <c r="Y10" s="20">
        <f ca="1">FORECAST(X4,_xlfn.ANCHORARRAY(X7),_xlfn.ANCHORARRAY(Y7))</f>
        <v>0.27625380587837334</v>
      </c>
      <c r="Z10" s="20" t="s">
        <v>52</v>
      </c>
      <c r="AA10" s="20"/>
      <c r="AB10" s="20"/>
      <c r="AC10">
        <f ca="1">Output!$L$11</f>
        <v>1.33</v>
      </c>
      <c r="AD10">
        <f ca="1">MAX(V18:V137)</f>
        <v>165.89502198569926</v>
      </c>
    </row>
    <row r="11" spans="1:32" x14ac:dyDescent="0.35">
      <c r="A11" s="3" t="s">
        <v>2</v>
      </c>
      <c r="B11" s="3">
        <f>Input!C25</f>
        <v>1.2</v>
      </c>
      <c r="C11" s="3" t="s">
        <v>0</v>
      </c>
      <c r="D11" s="3" t="s">
        <v>3</v>
      </c>
      <c r="E11" s="3"/>
      <c r="F11" s="3"/>
      <c r="G11" s="3"/>
      <c r="I11">
        <f>IF(I5&lt;5,SUM(I6:I10),I10)</f>
        <v>2.3E-2</v>
      </c>
      <c r="J11" t="s">
        <v>93</v>
      </c>
      <c r="Q11">
        <f>2/3</f>
        <v>0.66666666666666663</v>
      </c>
      <c r="R11" t="s">
        <v>6</v>
      </c>
      <c r="S11" t="s">
        <v>43</v>
      </c>
      <c r="T11" t="s">
        <v>44</v>
      </c>
      <c r="Z11" s="20" t="s">
        <v>124</v>
      </c>
      <c r="AC11">
        <f ca="1">AC10</f>
        <v>1.33</v>
      </c>
      <c r="AD11">
        <v>0</v>
      </c>
      <c r="AE11" t="s">
        <v>81</v>
      </c>
    </row>
    <row r="12" spans="1:32" x14ac:dyDescent="0.35">
      <c r="A12" s="3" t="s">
        <v>5</v>
      </c>
      <c r="B12" s="3">
        <f>Input!C26</f>
        <v>0.5</v>
      </c>
      <c r="C12" s="3" t="s">
        <v>6</v>
      </c>
      <c r="D12" s="3" t="s">
        <v>7</v>
      </c>
      <c r="E12" s="3"/>
      <c r="F12" s="3"/>
      <c r="G12" s="3"/>
      <c r="Q12">
        <f>Q11*I11/(B4)-1</f>
        <v>2.0666666666666664</v>
      </c>
      <c r="R12" t="s">
        <v>6</v>
      </c>
      <c r="S12" t="s">
        <v>45</v>
      </c>
      <c r="T12" t="s">
        <v>46</v>
      </c>
      <c r="AC12">
        <f t="shared" ref="AC12" ca="1" si="0">AC11</f>
        <v>1.33</v>
      </c>
      <c r="AD12">
        <f>MAX(B18:B137)/B5</f>
        <v>1.999999999999998</v>
      </c>
    </row>
    <row r="13" spans="1:32" x14ac:dyDescent="0.35">
      <c r="A13" s="3"/>
      <c r="B13" s="3"/>
      <c r="C13" s="3"/>
      <c r="D13" s="3" t="s">
        <v>8</v>
      </c>
      <c r="E13" s="3"/>
      <c r="F13" s="3"/>
      <c r="G13" s="3"/>
      <c r="Q13">
        <f>(MIN(B11,$B$5)^2/$Q$5+$B$6*MIN(B11,$B$5)+(B11&gt;$B$5)*((B11-$B$5)^2/$Q$6+$B$7*(B11-$B$5)))/B11</f>
        <v>3.65</v>
      </c>
      <c r="S13" t="s">
        <v>105</v>
      </c>
      <c r="AC13">
        <f ca="1">AC12</f>
        <v>1.33</v>
      </c>
      <c r="AD13">
        <v>0</v>
      </c>
      <c r="AE13" t="s">
        <v>82</v>
      </c>
    </row>
    <row r="14" spans="1:32" x14ac:dyDescent="0.35">
      <c r="Q14">
        <f>Q13*((2*$Q$3*(B11-$B$10)^(3)/(3*SQRT(3)*$Q$4))^(1/2)+(2/3*$Q$3*$B$10^2*B11/(1+(2/3*$I$11/$B$4-1)*$B$10/B11))^(1/2))</f>
        <v>2.4760183675655032</v>
      </c>
      <c r="R14" t="s">
        <v>47</v>
      </c>
      <c r="S14" t="s">
        <v>106</v>
      </c>
      <c r="AC14">
        <f ca="1">AC13</f>
        <v>1.33</v>
      </c>
      <c r="AD14" t="e">
        <f ca="1">MAX(S18:S137)</f>
        <v>#DIV/0!</v>
      </c>
    </row>
    <row r="15" spans="1:32" x14ac:dyDescent="0.35">
      <c r="T15" s="1"/>
    </row>
    <row r="16" spans="1:32" x14ac:dyDescent="0.35">
      <c r="A16" s="1" t="s">
        <v>95</v>
      </c>
      <c r="K16" s="1"/>
      <c r="T16" s="1" t="s">
        <v>113</v>
      </c>
    </row>
    <row r="17" spans="1:25" x14ac:dyDescent="0.35">
      <c r="A17" t="s">
        <v>141</v>
      </c>
      <c r="B17" t="s">
        <v>98</v>
      </c>
      <c r="C17" t="s">
        <v>48</v>
      </c>
      <c r="D17" t="s">
        <v>56</v>
      </c>
      <c r="E17" t="s">
        <v>104</v>
      </c>
      <c r="F17" t="s">
        <v>99</v>
      </c>
      <c r="G17" t="s">
        <v>100</v>
      </c>
      <c r="H17" t="s">
        <v>101</v>
      </c>
      <c r="I17" t="s">
        <v>102</v>
      </c>
      <c r="J17" t="s">
        <v>107</v>
      </c>
      <c r="K17" t="s">
        <v>103</v>
      </c>
      <c r="L17" t="s">
        <v>108</v>
      </c>
      <c r="M17" s="18" t="s">
        <v>55</v>
      </c>
      <c r="N17" s="18" t="s">
        <v>57</v>
      </c>
      <c r="O17" s="18" t="s">
        <v>58</v>
      </c>
      <c r="P17" s="18" t="s">
        <v>59</v>
      </c>
      <c r="Q17" s="18" t="s">
        <v>109</v>
      </c>
      <c r="R17" s="18" t="s">
        <v>110</v>
      </c>
      <c r="S17" s="18" t="s">
        <v>111</v>
      </c>
      <c r="T17" t="s">
        <v>85</v>
      </c>
      <c r="U17" t="s">
        <v>96</v>
      </c>
      <c r="V17" t="s">
        <v>112</v>
      </c>
      <c r="W17" t="s">
        <v>114</v>
      </c>
      <c r="X17" t="s">
        <v>64</v>
      </c>
      <c r="Y17" t="s">
        <v>63</v>
      </c>
    </row>
    <row r="18" spans="1:25" x14ac:dyDescent="0.35">
      <c r="A18">
        <v>0</v>
      </c>
      <c r="B18">
        <f>A18*$B$5</f>
        <v>0</v>
      </c>
      <c r="C18">
        <f t="shared" ref="C18:C49" si="1">2*MIN(B18,$B$5)/$Q$5+$B$6+(B18&gt;$B$5)*(2*(B18-$B$5)/$Q$6)</f>
        <v>3</v>
      </c>
      <c r="D18">
        <f>MIN(B18,$B$5)^2/$Q$5+$B$6*MIN(B18,$B$5)+(B18&gt;$B$5)*((B18-$B$5)^2/$Q$6+$B$7*(B18-$B$5))</f>
        <v>0</v>
      </c>
      <c r="E18">
        <f>IFERROR(D18/B18,$B$6)</f>
        <v>3</v>
      </c>
      <c r="F18">
        <f t="shared" ref="F18:F49" si="2">E18*($Q$3*$B$4*B18^3/$I$11)^(1/2)</f>
        <v>0</v>
      </c>
      <c r="G18">
        <f t="shared" ref="G18:G49" si="3">IF(B18&lt;$B$10,F18,0)</f>
        <v>0</v>
      </c>
      <c r="H18" t="e">
        <f t="shared" ref="H18:H49" si="4">IF(AND(B18&gt;=$B$10,B18&lt;$B$11),E18*((2*$Q$3*(B18-$B$10)^(3)/(3*SQRT(3)*$Q$4))^(1/2)+(2/3*$Q$3*$B$10^2*B18/(1+(2/3*$I$11/$B$4-1)*$B$10/B18))^(1/2)),0)</f>
        <v>#DIV/0!</v>
      </c>
      <c r="I18">
        <f t="shared" ref="I18:I66" si="5">IF(B18&gt;=$B$11,$Q$14+E18*2/3*SQRT(2*9.8)*(ABS(B18-$B$11))^(3/2),0)</f>
        <v>0</v>
      </c>
      <c r="J18" t="e">
        <f>SUM(G18:I18)</f>
        <v>#DIV/0!</v>
      </c>
      <c r="K18" t="e">
        <f>MIN(J18,F18)</f>
        <v>#DIV/0!</v>
      </c>
      <c r="L18" t="e">
        <f t="shared" ref="L18:L49" ca="1" si="6">FORECAST(K18,OFFSET($B$18:$B$136,MATCH(K18,$F$18:$F$136,1)-1,0,2),OFFSET($F$18:$F$136,MATCH(K18,$F$18:$F$136,1)-1,0,2))</f>
        <v>#DIV/0!</v>
      </c>
      <c r="M18" t="e">
        <f ca="1">MIN(L18,$B$5)^2/$Q$5+$B$6*MIN(L18,$B$5)+(L18&gt;$B$5)*((L18-$B$5)^2/$Q$6+$B$7*(L18-$B$5))</f>
        <v>#DIV/0!</v>
      </c>
      <c r="N18">
        <f>2*MIN(B18,$B$5)^3/(3*$Q$5)+$B$6*MIN(B18,$B$5)^2/2+(B18&gt;$B$5)*(2*B18^3/(3*$Q$6)-B18^2*$B$5/$Q$6+$B$7*B18^2/2-(2*$B$5^3/(3*$Q$6)-$B$5^2*$B$5/$Q$6+$B$7*$B$5^2/2))</f>
        <v>0</v>
      </c>
      <c r="O18" t="e">
        <f ca="1">2*MIN(L18,$B$5)^3/(3*$Q$5)+$B$6*MIN(L18,$B$5)^2/2+(L18&gt;$B$5)*(2*L18^3/(3*$Q$6)-L18^2*$B$5/$Q$6+$B$7*L18^2/2-(2*$B$5^3/(3*$Q$6)-$B$5^2*$B$5/$Q$6+$B$7*$B$5^2/2))</f>
        <v>#DIV/0!</v>
      </c>
      <c r="P18" t="e">
        <f ca="1">1/$B$4*(N18-O18-L18*(D18-M18))</f>
        <v>#DIV/0!</v>
      </c>
      <c r="Q18" t="e">
        <f ca="1">MAX((B18-L18)/$B$4,0)</f>
        <v>#DIV/0!</v>
      </c>
      <c r="R18" t="e">
        <f ca="1">L18*E18*Q18</f>
        <v>#DIV/0!</v>
      </c>
      <c r="S18" t="e">
        <f ca="1">SUM(P18,R18)</f>
        <v>#DIV/0!</v>
      </c>
      <c r="T18">
        <f t="shared" ref="T18:T49" ca="1" si="7">IFERROR(P18/$K18,0)</f>
        <v>0</v>
      </c>
      <c r="U18">
        <f t="shared" ref="U18:U49" ca="1" si="8">IFERROR(R18/$K18,0)</f>
        <v>0</v>
      </c>
      <c r="V18">
        <f t="shared" ref="V18:V49" ca="1" si="9">IFERROR(S18/$K18,0)</f>
        <v>0</v>
      </c>
      <c r="W18" t="e">
        <f>K18/$Q$8</f>
        <v>#DIV/0!</v>
      </c>
      <c r="X18" t="e">
        <f ca="1">L18/$B$5</f>
        <v>#DIV/0!</v>
      </c>
      <c r="Y18">
        <f>A18</f>
        <v>0</v>
      </c>
    </row>
    <row r="19" spans="1:25" x14ac:dyDescent="0.35">
      <c r="A19">
        <f>A18+(2/(137-18))</f>
        <v>1.680672268907563E-2</v>
      </c>
      <c r="B19">
        <f t="shared" ref="B19:B82" si="10">A19*$B$5</f>
        <v>1.680672268907563E-2</v>
      </c>
      <c r="C19">
        <f t="shared" si="1"/>
        <v>3.0168067226890756</v>
      </c>
      <c r="D19">
        <f t="shared" ref="D19:D82" si="11">MIN(B19,$B$5)^2/$Q$5+$B$6*MIN(B19,$B$5)+(B19&gt;$B$5)*((B19-$B$5)^2/$Q$6+$B$7*(B19-$B$5))</f>
        <v>5.0561401031000638E-2</v>
      </c>
      <c r="E19">
        <f t="shared" ref="E19:E82" si="12">IFERROR(D19/B19,$B$6)</f>
        <v>3.0084033613445382</v>
      </c>
      <c r="F19">
        <f t="shared" si="2"/>
        <v>9.5674177793339654E-3</v>
      </c>
      <c r="G19">
        <f t="shared" si="3"/>
        <v>0</v>
      </c>
      <c r="H19">
        <f t="shared" si="4"/>
        <v>3.3825929951058933E-3</v>
      </c>
      <c r="I19">
        <f t="shared" si="5"/>
        <v>0</v>
      </c>
      <c r="J19">
        <f t="shared" ref="J19:J82" si="13">SUM(G19:I19)</f>
        <v>3.3825929951058933E-3</v>
      </c>
      <c r="K19">
        <f t="shared" ref="K19:K82" si="14">MIN(J19,F19)</f>
        <v>3.3825929951058933E-3</v>
      </c>
      <c r="L19">
        <f t="shared" ca="1" si="6"/>
        <v>5.9420737914835922E-3</v>
      </c>
      <c r="M19">
        <f t="shared" ref="M19:M82" ca="1" si="15">MIN(L19,$B$5)^2/$Q$5+$B$6*MIN(L19,$B$5)+(L19&gt;$B$5)*((L19-$B$5)^2/$Q$6+$B$7*(L19-$B$5))</f>
        <v>1.7843875494922494E-2</v>
      </c>
      <c r="N19">
        <f t="shared" ref="N19:N82" si="16">2*MIN(B19,$B$5)^3/(3*$Q$5)+$B$6*MIN(B19,$B$5)^2/2+(B19&gt;$B$5)*(2*B19^3/(3*$Q$6)-B19^2*$B$5/$Q$6+$B$7*B19^2/2-(2*$B$5^3/(3*$Q$6)-$B$5^2*$B$5/$Q$6+$B$7*$B$5^2/2))</f>
        <v>4.2528133349236877E-4</v>
      </c>
      <c r="O19">
        <f t="shared" ref="O19:O82" ca="1" si="17">2*MIN(L19,$B$5)^3/(3*$Q$5)+$B$6*MIN(L19,$B$5)^2/2+(L19&gt;$B$5)*(2*L19^3/(3*$Q$6)-L19^2*$B$5/$Q$6+$B$7*L19^2/2-(2*$B$5^3/(3*$Q$6)-$B$5^2*$B$5/$Q$6+$B$7*$B$5^2/2))</f>
        <v>5.3032296139532082E-5</v>
      </c>
      <c r="P19">
        <f t="shared" ref="P19:P82" ca="1" si="18">1/$B$4*(N19-O19-L19*(D19-M19))</f>
        <v>3.5567817268542322E-2</v>
      </c>
      <c r="Q19">
        <f t="shared" ref="Q19:Q82" ca="1" si="19">MAX((B19-L19)/$B$4,0)</f>
        <v>2.172929779518407</v>
      </c>
      <c r="R19">
        <f t="shared" ref="R19:R82" ca="1" si="20">L19*E19*Q19</f>
        <v>3.884362903792081E-2</v>
      </c>
      <c r="S19">
        <f t="shared" ref="S19:S82" ca="1" si="21">SUM(P19,R19)</f>
        <v>7.4411446306463125E-2</v>
      </c>
      <c r="T19">
        <f t="shared" ca="1" si="7"/>
        <v>10.514956224412348</v>
      </c>
      <c r="U19">
        <f t="shared" ca="1" si="8"/>
        <v>11.483388363341891</v>
      </c>
      <c r="V19">
        <f t="shared" ca="1" si="9"/>
        <v>21.998344587754239</v>
      </c>
      <c r="W19">
        <f t="shared" ref="W19:W82" si="22">K19/$Q$8</f>
        <v>6.6213657618227064E-4</v>
      </c>
      <c r="X19">
        <f t="shared" ref="X19:X82" ca="1" si="23">L19/$B$5</f>
        <v>5.9420737914835922E-3</v>
      </c>
      <c r="Y19">
        <f t="shared" ref="Y19:Y82" si="24">A19</f>
        <v>1.680672268907563E-2</v>
      </c>
    </row>
    <row r="20" spans="1:25" x14ac:dyDescent="0.35">
      <c r="A20">
        <f t="shared" ref="A20:A83" si="25">A19+(2/(137-18))</f>
        <v>3.3613445378151259E-2</v>
      </c>
      <c r="B20">
        <f t="shared" si="10"/>
        <v>3.3613445378151259E-2</v>
      </c>
      <c r="C20">
        <f t="shared" si="1"/>
        <v>3.0336134453781511</v>
      </c>
      <c r="D20">
        <f t="shared" si="11"/>
        <v>0.10140526798954877</v>
      </c>
      <c r="E20">
        <f t="shared" si="12"/>
        <v>3.016806722689076</v>
      </c>
      <c r="F20">
        <f t="shared" si="2"/>
        <v>2.7136332631128836E-2</v>
      </c>
      <c r="G20">
        <f t="shared" si="3"/>
        <v>0</v>
      </c>
      <c r="H20">
        <f t="shared" si="4"/>
        <v>9.5941424100024954E-3</v>
      </c>
      <c r="I20">
        <f t="shared" si="5"/>
        <v>0</v>
      </c>
      <c r="J20">
        <f t="shared" si="13"/>
        <v>9.5941424100024954E-3</v>
      </c>
      <c r="K20">
        <f t="shared" si="14"/>
        <v>9.5941424100024954E-3</v>
      </c>
      <c r="L20">
        <f t="shared" ca="1" si="6"/>
        <v>1.6832287925198801E-2</v>
      </c>
      <c r="M20">
        <f t="shared" ca="1" si="15"/>
        <v>5.0638526733994799E-2</v>
      </c>
      <c r="N20">
        <f t="shared" si="16"/>
        <v>1.7074551026540128E-3</v>
      </c>
      <c r="O20">
        <f t="shared" ca="1" si="17"/>
        <v>4.265785496645882E-4</v>
      </c>
      <c r="P20">
        <f t="shared" ca="1" si="18"/>
        <v>8.527122943037431E-2</v>
      </c>
      <c r="Q20">
        <f t="shared" ca="1" si="19"/>
        <v>3.3562314905904915</v>
      </c>
      <c r="R20">
        <f t="shared" ca="1" si="20"/>
        <v>0.17042862748548365</v>
      </c>
      <c r="S20">
        <f t="shared" ca="1" si="21"/>
        <v>0.25569985691585795</v>
      </c>
      <c r="T20">
        <f t="shared" ca="1" si="7"/>
        <v>8.8878427884782809</v>
      </c>
      <c r="U20">
        <f t="shared" ca="1" si="8"/>
        <v>17.763820902616697</v>
      </c>
      <c r="V20">
        <f t="shared" ca="1" si="9"/>
        <v>26.651663691094974</v>
      </c>
      <c r="W20">
        <f t="shared" si="22"/>
        <v>1.8780363513894462E-3</v>
      </c>
      <c r="X20">
        <f t="shared" ca="1" si="23"/>
        <v>1.6832287925198801E-2</v>
      </c>
      <c r="Y20">
        <f t="shared" si="24"/>
        <v>3.3613445378151259E-2</v>
      </c>
    </row>
    <row r="21" spans="1:25" x14ac:dyDescent="0.35">
      <c r="A21">
        <f t="shared" si="25"/>
        <v>5.0420168067226892E-2</v>
      </c>
      <c r="B21">
        <f t="shared" si="10"/>
        <v>5.0420168067226892E-2</v>
      </c>
      <c r="C21">
        <f t="shared" si="1"/>
        <v>3.0504201680672267</v>
      </c>
      <c r="D21">
        <f t="shared" si="11"/>
        <v>0.15253160087564438</v>
      </c>
      <c r="E21">
        <f t="shared" si="12"/>
        <v>3.0252100840336134</v>
      </c>
      <c r="F21">
        <f t="shared" si="2"/>
        <v>4.9991491581921135E-2</v>
      </c>
      <c r="G21">
        <f t="shared" si="3"/>
        <v>0</v>
      </c>
      <c r="H21">
        <f t="shared" si="4"/>
        <v>1.767466134960332E-2</v>
      </c>
      <c r="I21">
        <f t="shared" si="5"/>
        <v>0</v>
      </c>
      <c r="J21">
        <f t="shared" si="13"/>
        <v>1.767466134960332E-2</v>
      </c>
      <c r="K21">
        <f t="shared" si="14"/>
        <v>1.767466134960332E-2</v>
      </c>
      <c r="L21">
        <f t="shared" ca="1" si="6"/>
        <v>2.4562249743974432E-2</v>
      </c>
      <c r="M21">
        <f t="shared" ca="1" si="15"/>
        <v>7.3988401288165986E-2</v>
      </c>
      <c r="N21">
        <f t="shared" si="16"/>
        <v>3.8560159605117383E-3</v>
      </c>
      <c r="O21">
        <f t="shared" ca="1" si="17"/>
        <v>9.0989567082220234E-4</v>
      </c>
      <c r="P21">
        <f t="shared" ca="1" si="18"/>
        <v>0.20338452114621236</v>
      </c>
      <c r="Q21">
        <f t="shared" ca="1" si="19"/>
        <v>5.171583664650492</v>
      </c>
      <c r="R21">
        <f t="shared" ca="1" si="20"/>
        <v>0.38427951794522186</v>
      </c>
      <c r="S21">
        <f t="shared" ca="1" si="21"/>
        <v>0.58766403909143428</v>
      </c>
      <c r="T21">
        <f t="shared" ca="1" si="7"/>
        <v>11.507124075719675</v>
      </c>
      <c r="U21">
        <f t="shared" ca="1" si="8"/>
        <v>21.741832012744414</v>
      </c>
      <c r="V21">
        <f t="shared" ca="1" si="9"/>
        <v>33.248956088464091</v>
      </c>
      <c r="W21">
        <f t="shared" si="22"/>
        <v>3.4597835944614095E-3</v>
      </c>
      <c r="X21">
        <f t="shared" ca="1" si="23"/>
        <v>2.4562249743974432E-2</v>
      </c>
      <c r="Y21">
        <f t="shared" si="24"/>
        <v>5.0420168067226892E-2</v>
      </c>
    </row>
    <row r="22" spans="1:25" x14ac:dyDescent="0.35">
      <c r="A22">
        <f t="shared" si="25"/>
        <v>6.7226890756302518E-2</v>
      </c>
      <c r="B22">
        <f t="shared" si="10"/>
        <v>6.7226890756302518E-2</v>
      </c>
      <c r="C22">
        <f t="shared" si="1"/>
        <v>3.0672268907563027</v>
      </c>
      <c r="D22">
        <f t="shared" si="11"/>
        <v>0.20394039968928748</v>
      </c>
      <c r="E22">
        <f t="shared" si="12"/>
        <v>3.0336134453781516</v>
      </c>
      <c r="F22">
        <f t="shared" si="2"/>
        <v>7.7180733370716445E-2</v>
      </c>
      <c r="G22">
        <f t="shared" si="3"/>
        <v>0</v>
      </c>
      <c r="H22">
        <f t="shared" si="4"/>
        <v>2.7287509971692235E-2</v>
      </c>
      <c r="I22">
        <f t="shared" si="5"/>
        <v>0</v>
      </c>
      <c r="J22">
        <f t="shared" si="13"/>
        <v>2.7287509971692235E-2</v>
      </c>
      <c r="K22">
        <f t="shared" si="14"/>
        <v>2.7287509971692235E-2</v>
      </c>
      <c r="L22">
        <f t="shared" ca="1" si="6"/>
        <v>3.3724614836442554E-2</v>
      </c>
      <c r="M22">
        <f t="shared" ca="1" si="15"/>
        <v>0.10174251933226086</v>
      </c>
      <c r="N22">
        <f t="shared" si="16"/>
        <v>6.8804585600923517E-3</v>
      </c>
      <c r="O22">
        <f t="shared" ca="1" si="17"/>
        <v>1.7188100283800048E-3</v>
      </c>
      <c r="P22">
        <f t="shared" ca="1" si="18"/>
        <v>0.34301287591415724</v>
      </c>
      <c r="Q22">
        <f t="shared" ca="1" si="19"/>
        <v>6.700455183971993</v>
      </c>
      <c r="R22">
        <f t="shared" ca="1" si="20"/>
        <v>0.68550645026299517</v>
      </c>
      <c r="S22">
        <f t="shared" ca="1" si="21"/>
        <v>1.0285193261771524</v>
      </c>
      <c r="T22">
        <f t="shared" ca="1" si="7"/>
        <v>12.570325261264038</v>
      </c>
      <c r="U22">
        <f t="shared" ca="1" si="8"/>
        <v>25.121619780409869</v>
      </c>
      <c r="V22">
        <f t="shared" ca="1" si="9"/>
        <v>37.691945041673904</v>
      </c>
      <c r="W22">
        <f t="shared" si="22"/>
        <v>5.3414816536715018E-3</v>
      </c>
      <c r="X22">
        <f t="shared" ca="1" si="23"/>
        <v>3.3724614836442554E-2</v>
      </c>
      <c r="Y22">
        <f t="shared" si="24"/>
        <v>6.7226890756302518E-2</v>
      </c>
    </row>
    <row r="23" spans="1:25" x14ac:dyDescent="0.35">
      <c r="A23">
        <f t="shared" si="25"/>
        <v>8.4033613445378144E-2</v>
      </c>
      <c r="B23">
        <f t="shared" si="10"/>
        <v>8.4033613445378144E-2</v>
      </c>
      <c r="C23">
        <f t="shared" si="1"/>
        <v>3.0840336134453783</v>
      </c>
      <c r="D23">
        <f t="shared" si="11"/>
        <v>0.25563166443047808</v>
      </c>
      <c r="E23">
        <f t="shared" si="12"/>
        <v>3.0420168067226894</v>
      </c>
      <c r="F23">
        <f t="shared" si="2"/>
        <v>0.10816214443562233</v>
      </c>
      <c r="G23">
        <f t="shared" si="3"/>
        <v>0</v>
      </c>
      <c r="H23">
        <f t="shared" si="4"/>
        <v>3.8241092899053676E-2</v>
      </c>
      <c r="I23">
        <f t="shared" si="5"/>
        <v>0</v>
      </c>
      <c r="J23">
        <f t="shared" si="13"/>
        <v>3.8241092899053676E-2</v>
      </c>
      <c r="K23">
        <f t="shared" si="14"/>
        <v>3.8241092899053676E-2</v>
      </c>
      <c r="L23">
        <f t="shared" ca="1" si="6"/>
        <v>4.1779419054094921E-2</v>
      </c>
      <c r="M23">
        <f t="shared" ca="1" si="15"/>
        <v>0.12621101709053359</v>
      </c>
      <c r="N23">
        <f t="shared" si="16"/>
        <v>1.0790277554422658E-2</v>
      </c>
      <c r="O23">
        <f t="shared" ca="1" si="17"/>
        <v>2.6425887199304577E-3</v>
      </c>
      <c r="P23">
        <f t="shared" ca="1" si="18"/>
        <v>0.54811387500488506</v>
      </c>
      <c r="Q23">
        <f t="shared" ca="1" si="19"/>
        <v>8.4508388782566453</v>
      </c>
      <c r="R23">
        <f t="shared" ca="1" si="20"/>
        <v>1.0740483383605255</v>
      </c>
      <c r="S23">
        <f t="shared" ca="1" si="21"/>
        <v>1.6221622133654106</v>
      </c>
      <c r="T23">
        <f t="shared" ca="1" si="7"/>
        <v>14.3331121956101</v>
      </c>
      <c r="U23">
        <f t="shared" ca="1" si="8"/>
        <v>28.086235432541841</v>
      </c>
      <c r="V23">
        <f t="shared" ca="1" si="9"/>
        <v>42.419347628151939</v>
      </c>
      <c r="W23">
        <f t="shared" si="22"/>
        <v>7.4856260739270125E-3</v>
      </c>
      <c r="X23">
        <f t="shared" ca="1" si="23"/>
        <v>4.1779419054094921E-2</v>
      </c>
      <c r="Y23">
        <f t="shared" si="24"/>
        <v>8.4033613445378144E-2</v>
      </c>
    </row>
    <row r="24" spans="1:25" x14ac:dyDescent="0.35">
      <c r="A24">
        <f t="shared" si="25"/>
        <v>0.10084033613445377</v>
      </c>
      <c r="B24">
        <f t="shared" si="10"/>
        <v>0.10084033613445377</v>
      </c>
      <c r="C24">
        <f t="shared" si="1"/>
        <v>3.1008403361344539</v>
      </c>
      <c r="D24">
        <f t="shared" si="11"/>
        <v>0.30760539509921614</v>
      </c>
      <c r="E24">
        <f t="shared" si="12"/>
        <v>3.0504201680672272</v>
      </c>
      <c r="F24">
        <f t="shared" si="2"/>
        <v>0.14257560155346674</v>
      </c>
      <c r="G24">
        <f t="shared" si="3"/>
        <v>0</v>
      </c>
      <c r="H24">
        <f t="shared" si="4"/>
        <v>5.0408087345103804E-2</v>
      </c>
      <c r="I24">
        <f t="shared" si="5"/>
        <v>0</v>
      </c>
      <c r="J24">
        <f t="shared" si="13"/>
        <v>5.0408087345103804E-2</v>
      </c>
      <c r="K24">
        <f t="shared" si="14"/>
        <v>5.0408087345103804E-2</v>
      </c>
      <c r="L24">
        <f t="shared" ca="1" si="6"/>
        <v>5.0677682032479882E-2</v>
      </c>
      <c r="M24">
        <f t="shared" ca="1" si="15"/>
        <v>0.15331715982553221</v>
      </c>
      <c r="N24">
        <f t="shared" si="16"/>
        <v>1.5594967596529462E-2</v>
      </c>
      <c r="O24">
        <f t="shared" ca="1" si="17"/>
        <v>3.8957251224149129E-3</v>
      </c>
      <c r="P24">
        <f t="shared" ca="1" si="18"/>
        <v>0.77605446911246967</v>
      </c>
      <c r="Q24">
        <f t="shared" ca="1" si="19"/>
        <v>10.032530820394777</v>
      </c>
      <c r="R24">
        <f t="shared" ca="1" si="20"/>
        <v>1.5509111151564594</v>
      </c>
      <c r="S24">
        <f t="shared" ca="1" si="21"/>
        <v>2.3269655842689292</v>
      </c>
      <c r="T24">
        <f t="shared" ca="1" si="7"/>
        <v>15.395435732354736</v>
      </c>
      <c r="U24">
        <f t="shared" ca="1" si="8"/>
        <v>30.767108946995211</v>
      </c>
      <c r="V24">
        <f t="shared" ca="1" si="9"/>
        <v>46.162544679349949</v>
      </c>
      <c r="W24">
        <f t="shared" si="22"/>
        <v>9.8672936456959091E-3</v>
      </c>
      <c r="X24">
        <f t="shared" ca="1" si="23"/>
        <v>5.0677682032479882E-2</v>
      </c>
      <c r="Y24">
        <f t="shared" si="24"/>
        <v>0.10084033613445377</v>
      </c>
    </row>
    <row r="25" spans="1:25" x14ac:dyDescent="0.35">
      <c r="A25">
        <f t="shared" si="25"/>
        <v>0.1176470588235294</v>
      </c>
      <c r="B25">
        <f t="shared" si="10"/>
        <v>0.1176470588235294</v>
      </c>
      <c r="C25">
        <f t="shared" si="1"/>
        <v>3.1176470588235294</v>
      </c>
      <c r="D25">
        <f t="shared" si="11"/>
        <v>0.35986159169550169</v>
      </c>
      <c r="E25">
        <f t="shared" si="12"/>
        <v>3.0588235294117649</v>
      </c>
      <c r="F25">
        <f t="shared" si="2"/>
        <v>0.18016073945064578</v>
      </c>
      <c r="G25">
        <f t="shared" si="3"/>
        <v>0</v>
      </c>
      <c r="H25">
        <f t="shared" si="4"/>
        <v>6.3696440284567196E-2</v>
      </c>
      <c r="I25">
        <f t="shared" si="5"/>
        <v>0</v>
      </c>
      <c r="J25">
        <f t="shared" si="13"/>
        <v>6.3696440284567196E-2</v>
      </c>
      <c r="K25">
        <f t="shared" si="14"/>
        <v>6.3696440284567196E-2</v>
      </c>
      <c r="L25">
        <f t="shared" ca="1" si="6"/>
        <v>5.8891727300198968E-2</v>
      </c>
      <c r="M25">
        <f t="shared" ca="1" si="15"/>
        <v>0.17840929967279739</v>
      </c>
      <c r="N25">
        <f t="shared" si="16"/>
        <v>2.1304023339439579E-2</v>
      </c>
      <c r="O25">
        <f t="shared" ca="1" si="17"/>
        <v>5.2704367772327416E-3</v>
      </c>
      <c r="P25">
        <f t="shared" ca="1" si="18"/>
        <v>1.0695095324819337</v>
      </c>
      <c r="Q25">
        <f t="shared" ca="1" si="19"/>
        <v>11.751066304666086</v>
      </c>
      <c r="R25">
        <f t="shared" ca="1" si="20"/>
        <v>2.116830047038206</v>
      </c>
      <c r="S25">
        <f t="shared" ca="1" si="21"/>
        <v>3.1863395795201397</v>
      </c>
      <c r="T25">
        <f t="shared" ca="1" si="7"/>
        <v>16.790726886837689</v>
      </c>
      <c r="U25">
        <f t="shared" ca="1" si="8"/>
        <v>33.233098075514995</v>
      </c>
      <c r="V25">
        <f t="shared" ca="1" si="9"/>
        <v>50.023824962352684</v>
      </c>
      <c r="W25">
        <f t="shared" si="22"/>
        <v>1.2468465152634023E-2</v>
      </c>
      <c r="X25">
        <f t="shared" ca="1" si="23"/>
        <v>5.8891727300198968E-2</v>
      </c>
      <c r="Y25">
        <f t="shared" si="24"/>
        <v>0.1176470588235294</v>
      </c>
    </row>
    <row r="26" spans="1:25" x14ac:dyDescent="0.35">
      <c r="A26">
        <f t="shared" si="25"/>
        <v>0.13445378151260504</v>
      </c>
      <c r="B26">
        <f t="shared" si="10"/>
        <v>0.13445378151260504</v>
      </c>
      <c r="C26">
        <f t="shared" si="1"/>
        <v>3.134453781512605</v>
      </c>
      <c r="D26">
        <f t="shared" si="11"/>
        <v>0.41240025421933479</v>
      </c>
      <c r="E26">
        <f t="shared" si="12"/>
        <v>3.0672268907563027</v>
      </c>
      <c r="F26">
        <f t="shared" si="2"/>
        <v>0.22071891722255207</v>
      </c>
      <c r="G26">
        <f t="shared" si="3"/>
        <v>0</v>
      </c>
      <c r="H26">
        <f t="shared" si="4"/>
        <v>7.8035921552109422E-2</v>
      </c>
      <c r="I26">
        <f t="shared" si="5"/>
        <v>0</v>
      </c>
      <c r="J26">
        <f t="shared" si="13"/>
        <v>7.8035921552109422E-2</v>
      </c>
      <c r="K26">
        <f t="shared" si="14"/>
        <v>7.8035921552109422E-2</v>
      </c>
      <c r="L26">
        <f t="shared" ca="1" si="6"/>
        <v>6.7690811220787989E-2</v>
      </c>
      <c r="M26">
        <f t="shared" ca="1" si="15"/>
        <v>0.20536345662422814</v>
      </c>
      <c r="N26">
        <f t="shared" si="16"/>
        <v>2.7926939436179812E-2</v>
      </c>
      <c r="O26">
        <f t="shared" ca="1" si="17"/>
        <v>6.976456354135227E-3</v>
      </c>
      <c r="P26">
        <f t="shared" ca="1" si="18"/>
        <v>1.3871988600555458</v>
      </c>
      <c r="Q26">
        <f t="shared" ca="1" si="19"/>
        <v>13.35259405836341</v>
      </c>
      <c r="R26">
        <f t="shared" ca="1" si="20"/>
        <v>2.7723066567652097</v>
      </c>
      <c r="S26">
        <f t="shared" ca="1" si="21"/>
        <v>4.1595055168207553</v>
      </c>
      <c r="T26">
        <f t="shared" ca="1" si="7"/>
        <v>17.776414149594263</v>
      </c>
      <c r="U26">
        <f t="shared" ca="1" si="8"/>
        <v>35.52603213526438</v>
      </c>
      <c r="V26">
        <f t="shared" ca="1" si="9"/>
        <v>53.30244628485864</v>
      </c>
      <c r="W26">
        <f t="shared" si="22"/>
        <v>1.5275393164504686E-2</v>
      </c>
      <c r="X26">
        <f t="shared" ca="1" si="23"/>
        <v>6.7690811220787989E-2</v>
      </c>
      <c r="Y26">
        <f t="shared" si="24"/>
        <v>0.13445378151260504</v>
      </c>
    </row>
    <row r="27" spans="1:25" x14ac:dyDescent="0.35">
      <c r="A27">
        <f t="shared" si="25"/>
        <v>0.15126050420168066</v>
      </c>
      <c r="B27">
        <f t="shared" si="10"/>
        <v>0.15126050420168066</v>
      </c>
      <c r="C27">
        <f t="shared" si="1"/>
        <v>3.1512605042016806</v>
      </c>
      <c r="D27">
        <f t="shared" si="11"/>
        <v>0.46522138267071528</v>
      </c>
      <c r="E27">
        <f t="shared" si="12"/>
        <v>3.0756302521008401</v>
      </c>
      <c r="F27">
        <f t="shared" si="2"/>
        <v>0.26409280026641957</v>
      </c>
      <c r="G27">
        <f t="shared" si="3"/>
        <v>0</v>
      </c>
      <c r="H27">
        <f t="shared" si="4"/>
        <v>9.3370904965464893E-2</v>
      </c>
      <c r="I27">
        <f t="shared" si="5"/>
        <v>0</v>
      </c>
      <c r="J27">
        <f t="shared" si="13"/>
        <v>9.3370904965464893E-2</v>
      </c>
      <c r="K27">
        <f t="shared" si="14"/>
        <v>9.3370904965464893E-2</v>
      </c>
      <c r="L27">
        <f t="shared" ca="1" si="6"/>
        <v>7.6009696798010257E-2</v>
      </c>
      <c r="M27">
        <f t="shared" ca="1" si="15"/>
        <v>0.23091782739769351</v>
      </c>
      <c r="N27">
        <f t="shared" si="16"/>
        <v>3.5473210539776957E-2</v>
      </c>
      <c r="O27">
        <f t="shared" ca="1" si="17"/>
        <v>8.8125923601732395E-3</v>
      </c>
      <c r="P27">
        <f t="shared" ca="1" si="18"/>
        <v>1.7702551969210993</v>
      </c>
      <c r="Q27">
        <f t="shared" ca="1" si="19"/>
        <v>15.050161480734081</v>
      </c>
      <c r="R27">
        <f t="shared" ca="1" si="20"/>
        <v>3.5183924806191489</v>
      </c>
      <c r="S27">
        <f t="shared" ca="1" si="21"/>
        <v>5.288647677540248</v>
      </c>
      <c r="T27">
        <f t="shared" ca="1" si="7"/>
        <v>18.959387804754208</v>
      </c>
      <c r="U27">
        <f t="shared" ca="1" si="8"/>
        <v>37.681893325554647</v>
      </c>
      <c r="V27">
        <f t="shared" ca="1" si="9"/>
        <v>56.641281130308855</v>
      </c>
      <c r="W27">
        <f t="shared" si="22"/>
        <v>1.8277188954841331E-2</v>
      </c>
      <c r="X27">
        <f t="shared" ca="1" si="23"/>
        <v>7.6009696798010257E-2</v>
      </c>
      <c r="Y27">
        <f t="shared" si="24"/>
        <v>0.15126050420168066</v>
      </c>
    </row>
    <row r="28" spans="1:25" x14ac:dyDescent="0.35">
      <c r="A28">
        <f t="shared" si="25"/>
        <v>0.16806722689075629</v>
      </c>
      <c r="B28">
        <f t="shared" si="10"/>
        <v>0.16806722689075629</v>
      </c>
      <c r="C28">
        <f t="shared" si="1"/>
        <v>3.1680672268907561</v>
      </c>
      <c r="D28">
        <f t="shared" si="11"/>
        <v>0.51832497704964342</v>
      </c>
      <c r="E28">
        <f t="shared" si="12"/>
        <v>3.0840336134453787</v>
      </c>
      <c r="F28">
        <f t="shared" si="2"/>
        <v>0.31015427831939668</v>
      </c>
      <c r="G28">
        <f t="shared" si="3"/>
        <v>0</v>
      </c>
      <c r="H28">
        <f t="shared" si="4"/>
        <v>0.10965609670683259</v>
      </c>
      <c r="I28">
        <f t="shared" si="5"/>
        <v>0</v>
      </c>
      <c r="J28">
        <f t="shared" si="13"/>
        <v>0.10965609670683259</v>
      </c>
      <c r="K28">
        <f t="shared" si="14"/>
        <v>0.10965609670683259</v>
      </c>
      <c r="L28">
        <f t="shared" ca="1" si="6"/>
        <v>8.4763224581131377E-2</v>
      </c>
      <c r="M28">
        <f t="shared" ca="1" si="15"/>
        <v>0.25788207586408979</v>
      </c>
      <c r="N28">
        <f t="shared" si="16"/>
        <v>4.3952331303257826E-2</v>
      </c>
      <c r="O28">
        <f t="shared" ca="1" si="17"/>
        <v>1.0980208753915146E-2</v>
      </c>
      <c r="P28">
        <f t="shared" ca="1" si="18"/>
        <v>2.1792284851180383</v>
      </c>
      <c r="Q28">
        <f t="shared" ca="1" si="19"/>
        <v>16.660800461924982</v>
      </c>
      <c r="R28">
        <f t="shared" ca="1" si="20"/>
        <v>4.3553437298385909</v>
      </c>
      <c r="S28">
        <f t="shared" ca="1" si="21"/>
        <v>6.5345722149566292</v>
      </c>
      <c r="T28">
        <f t="shared" ca="1" si="7"/>
        <v>19.873299803331886</v>
      </c>
      <c r="U28">
        <f t="shared" ca="1" si="8"/>
        <v>39.718208659958741</v>
      </c>
      <c r="V28">
        <f t="shared" ca="1" si="9"/>
        <v>59.591508463290623</v>
      </c>
      <c r="W28">
        <f t="shared" si="22"/>
        <v>2.1464986339185952E-2</v>
      </c>
      <c r="X28">
        <f t="shared" ca="1" si="23"/>
        <v>8.4763224581131377E-2</v>
      </c>
      <c r="Y28">
        <f t="shared" si="24"/>
        <v>0.16806722689075629</v>
      </c>
    </row>
    <row r="29" spans="1:25" x14ac:dyDescent="0.35">
      <c r="A29">
        <f t="shared" si="25"/>
        <v>0.18487394957983191</v>
      </c>
      <c r="B29">
        <f t="shared" si="10"/>
        <v>0.18487394957983191</v>
      </c>
      <c r="C29">
        <f t="shared" si="1"/>
        <v>3.1848739495798317</v>
      </c>
      <c r="D29">
        <f t="shared" si="11"/>
        <v>0.57171103735611883</v>
      </c>
      <c r="E29">
        <f t="shared" si="12"/>
        <v>3.0924369747899156</v>
      </c>
      <c r="F29">
        <f t="shared" si="2"/>
        <v>0.35879679783760376</v>
      </c>
      <c r="G29">
        <f t="shared" si="3"/>
        <v>0</v>
      </c>
      <c r="H29">
        <f t="shared" si="4"/>
        <v>0.12685382440949419</v>
      </c>
      <c r="I29">
        <f t="shared" si="5"/>
        <v>0</v>
      </c>
      <c r="J29">
        <f t="shared" si="13"/>
        <v>0.12685382440949419</v>
      </c>
      <c r="K29">
        <f t="shared" si="14"/>
        <v>0.12685382440949419</v>
      </c>
      <c r="L29">
        <f t="shared" ca="1" si="6"/>
        <v>9.3162190119266533E-2</v>
      </c>
      <c r="M29">
        <f t="shared" ca="1" si="15"/>
        <v>0.28382616719170878</v>
      </c>
      <c r="N29">
        <f t="shared" si="16"/>
        <v>5.3373796379649223E-2</v>
      </c>
      <c r="O29">
        <f t="shared" ca="1" si="17"/>
        <v>1.3288314731915286E-2</v>
      </c>
      <c r="P29">
        <f t="shared" ca="1" si="18"/>
        <v>2.6530993282033606</v>
      </c>
      <c r="Q29">
        <f t="shared" ca="1" si="19"/>
        <v>18.342351892113076</v>
      </c>
      <c r="R29">
        <f t="shared" ca="1" si="20"/>
        <v>5.2843985891459644</v>
      </c>
      <c r="S29">
        <f t="shared" ca="1" si="21"/>
        <v>7.937497917349325</v>
      </c>
      <c r="T29">
        <f t="shared" ca="1" si="7"/>
        <v>20.914618385007817</v>
      </c>
      <c r="U29">
        <f t="shared" ca="1" si="8"/>
        <v>41.657384897498297</v>
      </c>
      <c r="V29">
        <f t="shared" ca="1" si="9"/>
        <v>62.572003282506117</v>
      </c>
      <c r="W29">
        <f t="shared" si="22"/>
        <v>2.4831411018605254E-2</v>
      </c>
      <c r="X29">
        <f t="shared" ca="1" si="23"/>
        <v>9.3162190119266533E-2</v>
      </c>
      <c r="Y29">
        <f t="shared" si="24"/>
        <v>0.18487394957983191</v>
      </c>
    </row>
    <row r="30" spans="1:25" x14ac:dyDescent="0.35">
      <c r="A30">
        <f t="shared" si="25"/>
        <v>0.20168067226890754</v>
      </c>
      <c r="B30">
        <f>A30*$B$5</f>
        <v>0.20168067226890754</v>
      </c>
      <c r="C30">
        <f t="shared" si="1"/>
        <v>3.2016806722689077</v>
      </c>
      <c r="D30">
        <f t="shared" si="11"/>
        <v>0.62537956359014191</v>
      </c>
      <c r="E30">
        <f t="shared" si="12"/>
        <v>3.1008403361344539</v>
      </c>
      <c r="F30">
        <f t="shared" si="2"/>
        <v>0.40993023097175324</v>
      </c>
      <c r="G30">
        <f t="shared" si="3"/>
        <v>0</v>
      </c>
      <c r="H30">
        <f t="shared" si="4"/>
        <v>0.14493222306674719</v>
      </c>
      <c r="I30">
        <f t="shared" si="5"/>
        <v>0</v>
      </c>
      <c r="J30">
        <f t="shared" si="13"/>
        <v>0.14493222306674719</v>
      </c>
      <c r="K30">
        <f t="shared" si="14"/>
        <v>0.14493222306674719</v>
      </c>
      <c r="L30">
        <f t="shared" ca="1" si="6"/>
        <v>0.10189413256763878</v>
      </c>
      <c r="M30">
        <f t="shared" ca="1" si="15"/>
        <v>0.31087360482877213</v>
      </c>
      <c r="N30">
        <f t="shared" si="16"/>
        <v>6.3747100421977967E-2</v>
      </c>
      <c r="O30">
        <f t="shared" ca="1" si="17"/>
        <v>1.5926257075612668E-2</v>
      </c>
      <c r="P30">
        <f t="shared" ca="1" si="18"/>
        <v>3.1549062982043905</v>
      </c>
      <c r="Q30">
        <f t="shared" ca="1" si="19"/>
        <v>19.957307940253752</v>
      </c>
      <c r="R30">
        <f t="shared" ca="1" si="20"/>
        <v>6.3056598518763254</v>
      </c>
      <c r="S30">
        <f t="shared" ca="1" si="21"/>
        <v>9.4605661500807159</v>
      </c>
      <c r="T30">
        <f t="shared" ca="1" si="7"/>
        <v>21.76814949392881</v>
      </c>
      <c r="U30">
        <f t="shared" ca="1" si="8"/>
        <v>43.507645977197988</v>
      </c>
      <c r="V30">
        <f t="shared" ca="1" si="9"/>
        <v>65.275795471126798</v>
      </c>
      <c r="W30">
        <f t="shared" si="22"/>
        <v>2.8370225474583552E-2</v>
      </c>
      <c r="X30">
        <f t="shared" ca="1" si="23"/>
        <v>0.10189413256763878</v>
      </c>
      <c r="Y30">
        <f t="shared" si="24"/>
        <v>0.20168067226890754</v>
      </c>
    </row>
    <row r="31" spans="1:25" x14ac:dyDescent="0.35">
      <c r="A31">
        <f t="shared" si="25"/>
        <v>0.21848739495798317</v>
      </c>
      <c r="B31">
        <f t="shared" si="10"/>
        <v>0.21848739495798317</v>
      </c>
      <c r="C31">
        <f t="shared" si="1"/>
        <v>3.2184873949579833</v>
      </c>
      <c r="D31">
        <f t="shared" si="11"/>
        <v>0.67933055575171231</v>
      </c>
      <c r="E31">
        <f t="shared" si="12"/>
        <v>3.1092436974789912</v>
      </c>
      <c r="F31">
        <f t="shared" si="2"/>
        <v>0.46347729598941034</v>
      </c>
      <c r="G31">
        <f t="shared" si="3"/>
        <v>0</v>
      </c>
      <c r="H31">
        <f t="shared" si="4"/>
        <v>0.16386396946005835</v>
      </c>
      <c r="I31">
        <f t="shared" si="5"/>
        <v>0</v>
      </c>
      <c r="J31">
        <f t="shared" si="13"/>
        <v>0.16386396946005835</v>
      </c>
      <c r="K31">
        <f t="shared" si="14"/>
        <v>0.16386396946005835</v>
      </c>
      <c r="L31">
        <f t="shared" ca="1" si="6"/>
        <v>0.11035972906279411</v>
      </c>
      <c r="M31">
        <f t="shared" ca="1" si="15"/>
        <v>0.33716882208778898</v>
      </c>
      <c r="N31">
        <f t="shared" si="16"/>
        <v>7.5081738083270858E-2</v>
      </c>
      <c r="O31">
        <f t="shared" ca="1" si="17"/>
        <v>1.8716938336613222E-2</v>
      </c>
      <c r="P31">
        <f t="shared" ca="1" si="18"/>
        <v>3.7207847047702276</v>
      </c>
      <c r="Q31">
        <f t="shared" ca="1" si="19"/>
        <v>21.625533179037813</v>
      </c>
      <c r="R31">
        <f t="shared" ca="1" si="20"/>
        <v>7.4204836429959542</v>
      </c>
      <c r="S31">
        <f t="shared" ca="1" si="21"/>
        <v>11.141268347766182</v>
      </c>
      <c r="T31">
        <f t="shared" ca="1" si="7"/>
        <v>22.706545661199574</v>
      </c>
      <c r="U31">
        <f t="shared" ca="1" si="8"/>
        <v>45.28441284223063</v>
      </c>
      <c r="V31">
        <f t="shared" ca="1" si="9"/>
        <v>67.990958503430207</v>
      </c>
      <c r="W31">
        <f t="shared" si="22"/>
        <v>3.2076081235579618E-2</v>
      </c>
      <c r="X31">
        <f t="shared" ca="1" si="23"/>
        <v>0.11035972906279411</v>
      </c>
      <c r="Y31">
        <f t="shared" si="24"/>
        <v>0.21848739495798317</v>
      </c>
    </row>
    <row r="32" spans="1:25" x14ac:dyDescent="0.35">
      <c r="A32">
        <f t="shared" si="25"/>
        <v>0.23529411764705879</v>
      </c>
      <c r="B32">
        <f t="shared" si="10"/>
        <v>0.23529411764705879</v>
      </c>
      <c r="C32">
        <f t="shared" si="1"/>
        <v>3.2352941176470589</v>
      </c>
      <c r="D32">
        <f t="shared" si="11"/>
        <v>0.73356401384083036</v>
      </c>
      <c r="E32">
        <f t="shared" si="12"/>
        <v>3.1176470588235294</v>
      </c>
      <c r="F32">
        <f t="shared" si="2"/>
        <v>0.51937097462800941</v>
      </c>
      <c r="G32">
        <f t="shared" si="3"/>
        <v>0</v>
      </c>
      <c r="H32">
        <f t="shared" si="4"/>
        <v>0.18362536905546586</v>
      </c>
      <c r="I32">
        <f t="shared" si="5"/>
        <v>0</v>
      </c>
      <c r="J32">
        <f t="shared" si="13"/>
        <v>0.18362536905546586</v>
      </c>
      <c r="K32">
        <f t="shared" si="14"/>
        <v>0.18362536905546586</v>
      </c>
      <c r="L32">
        <f t="shared" ca="1" si="6"/>
        <v>0.11908275125813643</v>
      </c>
      <c r="M32">
        <f t="shared" ca="1" si="15"/>
        <v>0.36433860459801287</v>
      </c>
      <c r="N32">
        <f t="shared" si="16"/>
        <v>8.7387204016554698E-2</v>
      </c>
      <c r="O32">
        <f t="shared" ca="1" si="17"/>
        <v>2.1833944793117527E-2</v>
      </c>
      <c r="P32">
        <f t="shared" ca="1" si="18"/>
        <v>4.3169763312782212</v>
      </c>
      <c r="Q32">
        <f t="shared" ca="1" si="19"/>
        <v>23.242273277784474</v>
      </c>
      <c r="R32">
        <f t="shared" ca="1" si="20"/>
        <v>8.628879641931654</v>
      </c>
      <c r="S32">
        <f t="shared" ca="1" si="21"/>
        <v>12.945855973209875</v>
      </c>
      <c r="T32">
        <f t="shared" ca="1" si="7"/>
        <v>23.509694512713196</v>
      </c>
      <c r="U32">
        <f t="shared" ca="1" si="8"/>
        <v>46.991762011518219</v>
      </c>
      <c r="V32">
        <f t="shared" ca="1" si="9"/>
        <v>70.501456524231415</v>
      </c>
      <c r="W32">
        <f t="shared" si="22"/>
        <v>3.5944340138617761E-2</v>
      </c>
      <c r="X32">
        <f t="shared" ca="1" si="23"/>
        <v>0.11908275125813643</v>
      </c>
      <c r="Y32">
        <f t="shared" si="24"/>
        <v>0.23529411764705879</v>
      </c>
    </row>
    <row r="33" spans="1:25" x14ac:dyDescent="0.35">
      <c r="A33">
        <f t="shared" si="25"/>
        <v>0.25210084033613445</v>
      </c>
      <c r="B33">
        <f t="shared" si="10"/>
        <v>0.25210084033613445</v>
      </c>
      <c r="C33">
        <f t="shared" si="1"/>
        <v>3.2521008403361344</v>
      </c>
      <c r="D33">
        <f t="shared" si="11"/>
        <v>0.78807993785749586</v>
      </c>
      <c r="E33">
        <f t="shared" si="12"/>
        <v>3.1260504201680672</v>
      </c>
      <c r="F33">
        <f t="shared" si="2"/>
        <v>0.57755259628121802</v>
      </c>
      <c r="G33">
        <f t="shared" si="3"/>
        <v>0</v>
      </c>
      <c r="H33">
        <f t="shared" si="4"/>
        <v>0.2041956786611728</v>
      </c>
      <c r="I33">
        <f t="shared" si="5"/>
        <v>0</v>
      </c>
      <c r="J33">
        <f t="shared" si="13"/>
        <v>0.2041956786611728</v>
      </c>
      <c r="K33">
        <f t="shared" si="14"/>
        <v>0.2041956786611728</v>
      </c>
      <c r="L33">
        <f t="shared" ca="1" si="6"/>
        <v>0.12760679025998273</v>
      </c>
      <c r="M33">
        <f t="shared" ca="1" si="15"/>
        <v>0.39096211724017582</v>
      </c>
      <c r="N33">
        <f t="shared" si="16"/>
        <v>0.10067299287485632</v>
      </c>
      <c r="O33">
        <f t="shared" ca="1" si="17"/>
        <v>2.5117867469282983E-2</v>
      </c>
      <c r="P33">
        <f t="shared" ca="1" si="18"/>
        <v>4.9760389923115049</v>
      </c>
      <c r="Q33">
        <f t="shared" ca="1" si="19"/>
        <v>24.898810015230342</v>
      </c>
      <c r="R33">
        <f t="shared" ca="1" si="20"/>
        <v>9.9322662904977808</v>
      </c>
      <c r="S33">
        <f t="shared" ca="1" si="21"/>
        <v>14.908305282809286</v>
      </c>
      <c r="T33">
        <f t="shared" ca="1" si="7"/>
        <v>24.36897306023981</v>
      </c>
      <c r="U33">
        <f t="shared" ca="1" si="8"/>
        <v>48.6409230382326</v>
      </c>
      <c r="V33">
        <f t="shared" ca="1" si="9"/>
        <v>73.00989609847241</v>
      </c>
      <c r="W33">
        <f t="shared" si="22"/>
        <v>3.997094174071375E-2</v>
      </c>
      <c r="X33">
        <f t="shared" ca="1" si="23"/>
        <v>0.12760679025998273</v>
      </c>
      <c r="Y33">
        <f t="shared" si="24"/>
        <v>0.25210084033613445</v>
      </c>
    </row>
    <row r="34" spans="1:25" x14ac:dyDescent="0.35">
      <c r="A34">
        <f t="shared" si="25"/>
        <v>0.26890756302521007</v>
      </c>
      <c r="B34">
        <f t="shared" si="10"/>
        <v>0.26890756302521007</v>
      </c>
      <c r="C34">
        <f t="shared" si="1"/>
        <v>3.26890756302521</v>
      </c>
      <c r="D34">
        <f t="shared" si="11"/>
        <v>0.8428783278017089</v>
      </c>
      <c r="E34">
        <f t="shared" si="12"/>
        <v>3.134453781512605</v>
      </c>
      <c r="F34">
        <f t="shared" si="2"/>
        <v>0.637970383319163</v>
      </c>
      <c r="G34">
        <f t="shared" si="3"/>
        <v>0</v>
      </c>
      <c r="H34">
        <f t="shared" si="4"/>
        <v>0.22555659212058066</v>
      </c>
      <c r="I34">
        <f t="shared" si="5"/>
        <v>0</v>
      </c>
      <c r="J34">
        <f t="shared" si="13"/>
        <v>0.22555659212058066</v>
      </c>
      <c r="K34">
        <f t="shared" si="14"/>
        <v>0.22555659212058066</v>
      </c>
      <c r="L34">
        <f t="shared" ca="1" si="6"/>
        <v>0.13632830725863607</v>
      </c>
      <c r="M34">
        <f t="shared" ca="1" si="15"/>
        <v>0.41827762545591074</v>
      </c>
      <c r="N34">
        <f t="shared" si="16"/>
        <v>0.11494859931120249</v>
      </c>
      <c r="O34">
        <f t="shared" ca="1" si="17"/>
        <v>2.8722683415041521E-2</v>
      </c>
      <c r="P34">
        <f t="shared" ca="1" si="18"/>
        <v>5.668164176906064</v>
      </c>
      <c r="Q34">
        <f t="shared" ca="1" si="19"/>
        <v>26.515851153314802</v>
      </c>
      <c r="R34">
        <f t="shared" ca="1" si="20"/>
        <v>11.33061505473532</v>
      </c>
      <c r="S34">
        <f t="shared" ca="1" si="21"/>
        <v>16.998779231641386</v>
      </c>
      <c r="T34">
        <f t="shared" ca="1" si="7"/>
        <v>25.129676431163276</v>
      </c>
      <c r="U34">
        <f t="shared" ca="1" si="8"/>
        <v>50.234023081347445</v>
      </c>
      <c r="V34">
        <f t="shared" ca="1" si="9"/>
        <v>75.363699512510735</v>
      </c>
      <c r="W34">
        <f t="shared" si="22"/>
        <v>4.4152302644198775E-2</v>
      </c>
      <c r="X34">
        <f t="shared" ca="1" si="23"/>
        <v>0.13632830725863607</v>
      </c>
      <c r="Y34">
        <f t="shared" si="24"/>
        <v>0.26890756302521007</v>
      </c>
    </row>
    <row r="35" spans="1:25" x14ac:dyDescent="0.35">
      <c r="A35">
        <f t="shared" si="25"/>
        <v>0.2857142857142857</v>
      </c>
      <c r="B35">
        <f t="shared" si="10"/>
        <v>0.2857142857142857</v>
      </c>
      <c r="C35">
        <f t="shared" si="1"/>
        <v>3.2857142857142856</v>
      </c>
      <c r="D35">
        <f t="shared" si="11"/>
        <v>0.89795918367346939</v>
      </c>
      <c r="E35">
        <f t="shared" si="12"/>
        <v>3.1428571428571432</v>
      </c>
      <c r="F35">
        <f t="shared" si="2"/>
        <v>0.70057832438044365</v>
      </c>
      <c r="G35">
        <f t="shared" si="3"/>
        <v>0</v>
      </c>
      <c r="H35">
        <f t="shared" si="4"/>
        <v>0.24769184196086022</v>
      </c>
      <c r="I35">
        <f t="shared" si="5"/>
        <v>0</v>
      </c>
      <c r="J35">
        <f t="shared" si="13"/>
        <v>0.24769184196086022</v>
      </c>
      <c r="K35">
        <f t="shared" si="14"/>
        <v>0.24769184196086022</v>
      </c>
      <c r="L35">
        <f t="shared" ca="1" si="6"/>
        <v>0.14490538128594252</v>
      </c>
      <c r="M35">
        <f t="shared" ca="1" si="15"/>
        <v>0.44521492862063972</v>
      </c>
      <c r="N35">
        <f t="shared" si="16"/>
        <v>0.13022351797862003</v>
      </c>
      <c r="O35">
        <f t="shared" ca="1" si="17"/>
        <v>3.2510574561166135E-2</v>
      </c>
      <c r="P35">
        <f t="shared" ca="1" si="18"/>
        <v>6.4215729028007207</v>
      </c>
      <c r="Q35">
        <f t="shared" ca="1" si="19"/>
        <v>28.161780885668634</v>
      </c>
      <c r="R35">
        <f t="shared" ca="1" si="20"/>
        <v>12.825351304633942</v>
      </c>
      <c r="S35">
        <f t="shared" ca="1" si="21"/>
        <v>19.246924207434663</v>
      </c>
      <c r="T35">
        <f t="shared" ca="1" si="7"/>
        <v>25.925653634629779</v>
      </c>
      <c r="U35">
        <f t="shared" ca="1" si="8"/>
        <v>51.779465981203288</v>
      </c>
      <c r="V35">
        <f t="shared" ca="1" si="9"/>
        <v>77.70511961583307</v>
      </c>
      <c r="W35">
        <f t="shared" si="22"/>
        <v>4.8485238520134102E-2</v>
      </c>
      <c r="X35">
        <f t="shared" ca="1" si="23"/>
        <v>0.14490538128594252</v>
      </c>
      <c r="Y35">
        <f t="shared" si="24"/>
        <v>0.2857142857142857</v>
      </c>
    </row>
    <row r="36" spans="1:25" x14ac:dyDescent="0.35">
      <c r="A36">
        <f t="shared" si="25"/>
        <v>0.30252100840336132</v>
      </c>
      <c r="B36">
        <f t="shared" si="10"/>
        <v>0.30252100840336132</v>
      </c>
      <c r="C36">
        <f t="shared" si="1"/>
        <v>3.3025210084033612</v>
      </c>
      <c r="D36">
        <f t="shared" si="11"/>
        <v>0.95332250547277719</v>
      </c>
      <c r="E36">
        <f t="shared" si="12"/>
        <v>3.1512605042016806</v>
      </c>
      <c r="F36">
        <f t="shared" si="2"/>
        <v>0.76533528660217121</v>
      </c>
      <c r="G36">
        <f t="shared" si="3"/>
        <v>0</v>
      </c>
      <c r="H36">
        <f t="shared" si="4"/>
        <v>0.27058688551887256</v>
      </c>
      <c r="I36">
        <f t="shared" si="5"/>
        <v>0</v>
      </c>
      <c r="J36">
        <f t="shared" si="13"/>
        <v>0.27058688551887256</v>
      </c>
      <c r="K36">
        <f t="shared" si="14"/>
        <v>0.27058688551887256</v>
      </c>
      <c r="L36">
        <f t="shared" ca="1" si="6"/>
        <v>0.15363003932236574</v>
      </c>
      <c r="M36">
        <f t="shared" ca="1" si="15"/>
        <v>0.47269121245819307</v>
      </c>
      <c r="N36">
        <f t="shared" si="16"/>
        <v>0.14650724353013572</v>
      </c>
      <c r="O36">
        <f t="shared" ca="1" si="17"/>
        <v>3.6611951880430135E-2</v>
      </c>
      <c r="P36">
        <f t="shared" ca="1" si="18"/>
        <v>7.2111774408631062</v>
      </c>
      <c r="Q36">
        <f t="shared" ca="1" si="19"/>
        <v>29.778193816199117</v>
      </c>
      <c r="R36">
        <f t="shared" ca="1" si="20"/>
        <v>14.416465610078882</v>
      </c>
      <c r="S36">
        <f t="shared" ca="1" si="21"/>
        <v>21.627643050941987</v>
      </c>
      <c r="T36">
        <f t="shared" ca="1" si="7"/>
        <v>26.650136524669634</v>
      </c>
      <c r="U36">
        <f t="shared" ca="1" si="8"/>
        <v>53.27850824120366</v>
      </c>
      <c r="V36">
        <f t="shared" ca="1" si="9"/>
        <v>79.928644765873287</v>
      </c>
      <c r="W36">
        <f t="shared" si="22"/>
        <v>5.2966902668017103E-2</v>
      </c>
      <c r="X36">
        <f t="shared" ca="1" si="23"/>
        <v>0.15363003932236574</v>
      </c>
      <c r="Y36">
        <f t="shared" si="24"/>
        <v>0.30252100840336132</v>
      </c>
    </row>
    <row r="37" spans="1:25" x14ac:dyDescent="0.35">
      <c r="A37">
        <f t="shared" si="25"/>
        <v>0.31932773109243695</v>
      </c>
      <c r="B37">
        <f t="shared" si="10"/>
        <v>0.31932773109243695</v>
      </c>
      <c r="C37">
        <f t="shared" si="1"/>
        <v>3.3193277310924367</v>
      </c>
      <c r="D37">
        <f t="shared" si="11"/>
        <v>1.0089682931996327</v>
      </c>
      <c r="E37">
        <f t="shared" si="12"/>
        <v>3.1596638655462184</v>
      </c>
      <c r="F37">
        <f t="shared" si="2"/>
        <v>0.83220430558482017</v>
      </c>
      <c r="G37">
        <f t="shared" si="3"/>
        <v>0</v>
      </c>
      <c r="H37">
        <f t="shared" si="4"/>
        <v>0.29422865390583408</v>
      </c>
      <c r="I37">
        <f t="shared" si="5"/>
        <v>0</v>
      </c>
      <c r="J37">
        <f t="shared" si="13"/>
        <v>0.29422865390583408</v>
      </c>
      <c r="K37">
        <f t="shared" si="14"/>
        <v>0.29422865390583408</v>
      </c>
      <c r="L37">
        <f t="shared" ca="1" si="6"/>
        <v>0.16225635054716012</v>
      </c>
      <c r="M37">
        <f t="shared" ca="1" si="15"/>
        <v>0.49993261328792177</v>
      </c>
      <c r="N37">
        <f t="shared" si="16"/>
        <v>0.1638092706187764</v>
      </c>
      <c r="O37">
        <f t="shared" ca="1" si="17"/>
        <v>4.0914599254627128E-2</v>
      </c>
      <c r="P37">
        <f t="shared" ca="1" si="18"/>
        <v>8.0600799286765472</v>
      </c>
      <c r="Q37">
        <f t="shared" ca="1" si="19"/>
        <v>31.414276109055365</v>
      </c>
      <c r="R37">
        <f t="shared" ca="1" si="20"/>
        <v>16.105330584013426</v>
      </c>
      <c r="S37">
        <f t="shared" ca="1" si="21"/>
        <v>24.165410512689974</v>
      </c>
      <c r="T37">
        <f t="shared" ca="1" si="7"/>
        <v>27.393932649592049</v>
      </c>
      <c r="U37">
        <f t="shared" ca="1" si="8"/>
        <v>54.737464792153894</v>
      </c>
      <c r="V37">
        <f t="shared" ca="1" si="9"/>
        <v>82.131397441745946</v>
      </c>
      <c r="W37">
        <f t="shared" si="22"/>
        <v>5.7594736876059885E-2</v>
      </c>
      <c r="X37">
        <f t="shared" ca="1" si="23"/>
        <v>0.16225635054716012</v>
      </c>
      <c r="Y37">
        <f t="shared" si="24"/>
        <v>0.31932773109243695</v>
      </c>
    </row>
    <row r="38" spans="1:25" x14ac:dyDescent="0.35">
      <c r="A38">
        <f t="shared" si="25"/>
        <v>0.33613445378151258</v>
      </c>
      <c r="B38">
        <f t="shared" si="10"/>
        <v>0.33613445378151258</v>
      </c>
      <c r="C38">
        <f t="shared" si="1"/>
        <v>3.3361344537815127</v>
      </c>
      <c r="D38">
        <f t="shared" si="11"/>
        <v>1.0648965468540357</v>
      </c>
      <c r="E38">
        <f t="shared" si="12"/>
        <v>3.1680672268907566</v>
      </c>
      <c r="F38">
        <f t="shared" si="2"/>
        <v>0.90115200999402467</v>
      </c>
      <c r="G38">
        <f t="shared" si="3"/>
        <v>0</v>
      </c>
      <c r="H38">
        <f t="shared" si="4"/>
        <v>0.31860534857333117</v>
      </c>
      <c r="I38">
        <f t="shared" si="5"/>
        <v>0</v>
      </c>
      <c r="J38">
        <f t="shared" si="13"/>
        <v>0.31860534857333117</v>
      </c>
      <c r="K38">
        <f t="shared" si="14"/>
        <v>0.31860534857333117</v>
      </c>
      <c r="L38">
        <f t="shared" ca="1" si="6"/>
        <v>0.17098719887392233</v>
      </c>
      <c r="M38">
        <f t="shared" ca="1" si="15"/>
        <v>0.52757990771114216</v>
      </c>
      <c r="N38">
        <f t="shared" si="16"/>
        <v>0.18213909389756888</v>
      </c>
      <c r="O38">
        <f t="shared" ca="1" si="17"/>
        <v>4.5521295978418627E-2</v>
      </c>
      <c r="P38">
        <f t="shared" ca="1" si="18"/>
        <v>8.9487061767513509</v>
      </c>
      <c r="Q38">
        <f t="shared" ca="1" si="19"/>
        <v>33.029450981518046</v>
      </c>
      <c r="R38">
        <f t="shared" ca="1" si="20"/>
        <v>17.892018617519604</v>
      </c>
      <c r="S38">
        <f t="shared" ca="1" si="21"/>
        <v>26.840724794270955</v>
      </c>
      <c r="T38">
        <f t="shared" ca="1" si="7"/>
        <v>28.087118489448994</v>
      </c>
      <c r="U38">
        <f t="shared" ca="1" si="8"/>
        <v>56.157307771628709</v>
      </c>
      <c r="V38">
        <f t="shared" ca="1" si="9"/>
        <v>84.244426261077692</v>
      </c>
      <c r="W38">
        <f t="shared" si="22"/>
        <v>6.2366431599347703E-2</v>
      </c>
      <c r="X38">
        <f t="shared" ca="1" si="23"/>
        <v>0.17098719887392233</v>
      </c>
      <c r="Y38">
        <f t="shared" si="24"/>
        <v>0.33613445378151258</v>
      </c>
    </row>
    <row r="39" spans="1:25" x14ac:dyDescent="0.35">
      <c r="A39">
        <f t="shared" si="25"/>
        <v>0.3529411764705882</v>
      </c>
      <c r="B39">
        <f t="shared" si="10"/>
        <v>0.3529411764705882</v>
      </c>
      <c r="C39">
        <f t="shared" si="1"/>
        <v>3.3529411764705883</v>
      </c>
      <c r="D39">
        <f t="shared" si="11"/>
        <v>1.121107266435986</v>
      </c>
      <c r="E39">
        <f t="shared" si="12"/>
        <v>3.1764705882352939</v>
      </c>
      <c r="F39">
        <f t="shared" si="2"/>
        <v>0.97214814980282549</v>
      </c>
      <c r="G39">
        <f t="shared" si="3"/>
        <v>0</v>
      </c>
      <c r="H39">
        <f t="shared" si="4"/>
        <v>0.34370627452176683</v>
      </c>
      <c r="I39">
        <f t="shared" si="5"/>
        <v>0</v>
      </c>
      <c r="J39">
        <f t="shared" si="13"/>
        <v>0.34370627452176683</v>
      </c>
      <c r="K39">
        <f t="shared" si="14"/>
        <v>0.34370627452176683</v>
      </c>
      <c r="L39">
        <f t="shared" ca="1" si="6"/>
        <v>0.179659946622864</v>
      </c>
      <c r="M39">
        <f t="shared" ca="1" si="15"/>
        <v>0.55511868807885711</v>
      </c>
      <c r="N39">
        <f t="shared" si="16"/>
        <v>0.20150620801953997</v>
      </c>
      <c r="O39">
        <f t="shared" ca="1" si="17"/>
        <v>5.0349547702802672E-2</v>
      </c>
      <c r="P39">
        <f t="shared" ca="1" si="18"/>
        <v>9.8942365079889676</v>
      </c>
      <c r="Q39">
        <f t="shared" ca="1" si="19"/>
        <v>34.656245969544841</v>
      </c>
      <c r="R39">
        <f t="shared" ca="1" si="20"/>
        <v>19.777783662118392</v>
      </c>
      <c r="S39">
        <f t="shared" ca="1" si="21"/>
        <v>29.672020170107359</v>
      </c>
      <c r="T39">
        <f t="shared" ca="1" si="7"/>
        <v>28.786895210905929</v>
      </c>
      <c r="U39">
        <f t="shared" ca="1" si="8"/>
        <v>57.542690163678898</v>
      </c>
      <c r="V39">
        <f t="shared" ca="1" si="9"/>
        <v>86.329585374584823</v>
      </c>
      <c r="W39">
        <f t="shared" si="22"/>
        <v>6.7279893310688357E-2</v>
      </c>
      <c r="X39">
        <f t="shared" ca="1" si="23"/>
        <v>0.179659946622864</v>
      </c>
      <c r="Y39">
        <f t="shared" si="24"/>
        <v>0.3529411764705882</v>
      </c>
    </row>
    <row r="40" spans="1:25" x14ac:dyDescent="0.35">
      <c r="A40">
        <f t="shared" si="25"/>
        <v>0.36974789915966383</v>
      </c>
      <c r="B40">
        <f t="shared" si="10"/>
        <v>0.36974789915966383</v>
      </c>
      <c r="C40">
        <f t="shared" si="1"/>
        <v>3.3697478991596639</v>
      </c>
      <c r="D40">
        <f t="shared" si="11"/>
        <v>1.1776004519454839</v>
      </c>
      <c r="E40">
        <f t="shared" si="12"/>
        <v>3.1848739495798317</v>
      </c>
      <c r="F40">
        <f t="shared" si="2"/>
        <v>1.0451652054608327</v>
      </c>
      <c r="G40">
        <f t="shared" si="3"/>
        <v>0</v>
      </c>
      <c r="H40">
        <f t="shared" si="4"/>
        <v>0.36952170212079299</v>
      </c>
      <c r="I40">
        <f t="shared" si="5"/>
        <v>0</v>
      </c>
      <c r="J40">
        <f t="shared" si="13"/>
        <v>0.36952170212079299</v>
      </c>
      <c r="K40">
        <f t="shared" si="14"/>
        <v>0.36952170212079299</v>
      </c>
      <c r="L40">
        <f t="shared" ca="1" si="6"/>
        <v>0.1883990501081213</v>
      </c>
      <c r="M40">
        <f t="shared" ca="1" si="15"/>
        <v>0.58294425136518513</v>
      </c>
      <c r="N40">
        <f t="shared" si="16"/>
        <v>0.22192010763771641</v>
      </c>
      <c r="O40">
        <f t="shared" ca="1" si="17"/>
        <v>5.5470327774639318E-2</v>
      </c>
      <c r="P40">
        <f t="shared" ca="1" si="18"/>
        <v>10.883423306568874</v>
      </c>
      <c r="Q40">
        <f t="shared" ca="1" si="19"/>
        <v>36.269769810308503</v>
      </c>
      <c r="R40">
        <f t="shared" ca="1" si="20"/>
        <v>21.762849396495678</v>
      </c>
      <c r="S40">
        <f t="shared" ca="1" si="21"/>
        <v>32.646272703064554</v>
      </c>
      <c r="T40">
        <f t="shared" ca="1" si="7"/>
        <v>29.452731041521318</v>
      </c>
      <c r="U40">
        <f t="shared" ca="1" si="8"/>
        <v>58.894644811366497</v>
      </c>
      <c r="V40">
        <f t="shared" ca="1" si="9"/>
        <v>88.347375852887822</v>
      </c>
      <c r="W40">
        <f t="shared" si="22"/>
        <v>7.2333217452206999E-2</v>
      </c>
      <c r="X40">
        <f t="shared" ca="1" si="23"/>
        <v>0.1883990501081213</v>
      </c>
      <c r="Y40">
        <f t="shared" si="24"/>
        <v>0.36974789915966383</v>
      </c>
    </row>
    <row r="41" spans="1:25" x14ac:dyDescent="0.35">
      <c r="A41">
        <f t="shared" si="25"/>
        <v>0.38655462184873945</v>
      </c>
      <c r="B41">
        <f t="shared" si="10"/>
        <v>0.38655462184873945</v>
      </c>
      <c r="C41">
        <f t="shared" si="1"/>
        <v>3.3865546218487395</v>
      </c>
      <c r="D41">
        <f t="shared" si="11"/>
        <v>1.2343761033825293</v>
      </c>
      <c r="E41">
        <f t="shared" si="12"/>
        <v>3.1932773109243699</v>
      </c>
      <c r="F41">
        <f t="shared" si="2"/>
        <v>1.1201780610669136</v>
      </c>
      <c r="G41">
        <f t="shared" si="3"/>
        <v>0</v>
      </c>
      <c r="H41">
        <f t="shared" si="4"/>
        <v>0.39604275155840668</v>
      </c>
      <c r="I41">
        <f>IF(B41&gt;=$B$11,$Q$14+E41*2/3*SQRT(2*9.8)*(ABS(B41-$B$11))^(3/2),0)</f>
        <v>0</v>
      </c>
      <c r="J41">
        <f t="shared" si="13"/>
        <v>0.39604275155840668</v>
      </c>
      <c r="K41">
        <f t="shared" si="14"/>
        <v>0.39604275155840668</v>
      </c>
      <c r="L41">
        <f t="shared" ca="1" si="6"/>
        <v>0.19711608504985603</v>
      </c>
      <c r="M41">
        <f t="shared" ca="1" si="15"/>
        <v>0.61077563064225915</v>
      </c>
      <c r="N41">
        <f t="shared" si="16"/>
        <v>0.24339028740512511</v>
      </c>
      <c r="O41">
        <f t="shared" ca="1" si="17"/>
        <v>6.0835091944681632E-2</v>
      </c>
      <c r="P41">
        <f t="shared" ca="1" si="18"/>
        <v>11.926702327728385</v>
      </c>
      <c r="Q41">
        <f t="shared" ca="1" si="19"/>
        <v>37.887707359776684</v>
      </c>
      <c r="R41">
        <f t="shared" ca="1" si="20"/>
        <v>23.848278046924733</v>
      </c>
      <c r="S41">
        <f t="shared" ca="1" si="21"/>
        <v>35.774980374653119</v>
      </c>
      <c r="T41">
        <f t="shared" ca="1" si="7"/>
        <v>30.114684035492282</v>
      </c>
      <c r="U41">
        <f t="shared" ca="1" si="8"/>
        <v>60.21642348732064</v>
      </c>
      <c r="V41">
        <f t="shared" ca="1" si="9"/>
        <v>90.331107522812928</v>
      </c>
      <c r="W41">
        <f t="shared" si="22"/>
        <v>7.7524665816461807E-2</v>
      </c>
      <c r="X41">
        <f t="shared" ca="1" si="23"/>
        <v>0.19711608504985603</v>
      </c>
      <c r="Y41">
        <f t="shared" si="24"/>
        <v>0.38655462184873945</v>
      </c>
    </row>
    <row r="42" spans="1:25" x14ac:dyDescent="0.35">
      <c r="A42">
        <f t="shared" si="25"/>
        <v>0.40336134453781508</v>
      </c>
      <c r="B42">
        <f t="shared" si="10"/>
        <v>0.40336134453781508</v>
      </c>
      <c r="C42">
        <f>2*MIN(B42,$B$5)/$Q$5+$B$6+(B42&gt;$B$5)*(2*(B42-$B$5)/$Q$6)</f>
        <v>3.403361344537815</v>
      </c>
      <c r="D42">
        <f>MIN(B42,$B$5)^2/$Q$5+$B$6*MIN(B42,$B$5)+(B42&gt;$B$5)*((B42-$B$5)^2/$Q$6+$B$7*(B42-$B$5))</f>
        <v>1.2914342207471223</v>
      </c>
      <c r="E42">
        <f>IFERROR(D42/B42,$B$6)</f>
        <v>3.2016806722689077</v>
      </c>
      <c r="F42">
        <f t="shared" si="2"/>
        <v>1.1971637287464647</v>
      </c>
      <c r="G42">
        <f t="shared" si="3"/>
        <v>0</v>
      </c>
      <c r="H42">
        <f t="shared" si="4"/>
        <v>0.42326129539359886</v>
      </c>
      <c r="I42">
        <f>IF(B42&gt;=$B$11,$Q$14+E42*2/3*SQRT(2*9.8)*(ABS(B42-$B$11))^(3/2),0)</f>
        <v>0</v>
      </c>
      <c r="J42">
        <f t="shared" si="13"/>
        <v>0.42326129539359886</v>
      </c>
      <c r="K42">
        <f t="shared" si="14"/>
        <v>0.42326129539359886</v>
      </c>
      <c r="L42">
        <f t="shared" ca="1" si="6"/>
        <v>0.20586486990540323</v>
      </c>
      <c r="M42">
        <f t="shared" ca="1" si="15"/>
        <v>0.63878478204679401</v>
      </c>
      <c r="N42">
        <f t="shared" si="16"/>
        <v>0.26592624197479281</v>
      </c>
      <c r="O42">
        <f t="shared" ca="1" si="17"/>
        <v>6.6478725038492101E-2</v>
      </c>
      <c r="P42">
        <f t="shared" ca="1" si="18"/>
        <v>13.017985028884633</v>
      </c>
      <c r="Q42">
        <f t="shared" ca="1" si="19"/>
        <v>39.499294926482371</v>
      </c>
      <c r="R42">
        <f t="shared" ca="1" si="20"/>
        <v>26.034521491946769</v>
      </c>
      <c r="S42">
        <f t="shared" ca="1" si="21"/>
        <v>39.0525065208314</v>
      </c>
      <c r="T42">
        <f t="shared" ca="1" si="7"/>
        <v>30.756379500230366</v>
      </c>
      <c r="U42">
        <f t="shared" ca="1" si="8"/>
        <v>61.509336609048468</v>
      </c>
      <c r="V42">
        <f t="shared" ca="1" si="9"/>
        <v>92.265716109278827</v>
      </c>
      <c r="W42">
        <f t="shared" si="22"/>
        <v>8.2852647471297877E-2</v>
      </c>
      <c r="X42">
        <f t="shared" ca="1" si="23"/>
        <v>0.20586486990540323</v>
      </c>
      <c r="Y42">
        <f t="shared" si="24"/>
        <v>0.40336134453781508</v>
      </c>
    </row>
    <row r="43" spans="1:25" x14ac:dyDescent="0.35">
      <c r="A43">
        <f t="shared" si="25"/>
        <v>0.42016806722689071</v>
      </c>
      <c r="B43">
        <f t="shared" si="10"/>
        <v>0.42016806722689071</v>
      </c>
      <c r="C43">
        <f t="shared" si="1"/>
        <v>3.4201680672268906</v>
      </c>
      <c r="D43">
        <f t="shared" si="11"/>
        <v>1.3487748040392626</v>
      </c>
      <c r="E43">
        <f t="shared" si="12"/>
        <v>3.2100840336134455</v>
      </c>
      <c r="F43">
        <f t="shared" si="2"/>
        <v>1.2761011144223373</v>
      </c>
      <c r="G43">
        <f t="shared" si="3"/>
        <v>0</v>
      </c>
      <c r="H43">
        <f t="shared" si="4"/>
        <v>0.45116987574387257</v>
      </c>
      <c r="I43">
        <f t="shared" si="5"/>
        <v>0</v>
      </c>
      <c r="J43">
        <f t="shared" si="13"/>
        <v>0.45116987574387257</v>
      </c>
      <c r="K43">
        <f t="shared" si="14"/>
        <v>0.45116987574387257</v>
      </c>
      <c r="L43">
        <f t="shared" ca="1" si="6"/>
        <v>0.21462448671051038</v>
      </c>
      <c r="M43">
        <f t="shared" ca="1" si="15"/>
        <v>0.66690529527940612</v>
      </c>
      <c r="N43">
        <f t="shared" si="16"/>
        <v>0.28953746599974639</v>
      </c>
      <c r="O43">
        <f t="shared" ca="1" si="17"/>
        <v>7.239096930803425E-2</v>
      </c>
      <c r="P43">
        <f t="shared" ca="1" si="18"/>
        <v>14.160120674116017</v>
      </c>
      <c r="Q43">
        <f t="shared" ca="1" si="19"/>
        <v>41.108716103276066</v>
      </c>
      <c r="R43">
        <f t="shared" ca="1" si="20"/>
        <v>28.322369491794962</v>
      </c>
      <c r="S43">
        <f t="shared" ca="1" si="21"/>
        <v>42.482490165910981</v>
      </c>
      <c r="T43">
        <f t="shared" ca="1" si="7"/>
        <v>31.385341609453253</v>
      </c>
      <c r="U43">
        <f t="shared" ca="1" si="8"/>
        <v>62.775400164069161</v>
      </c>
      <c r="V43">
        <f t="shared" ca="1" si="9"/>
        <v>94.160741773522417</v>
      </c>
      <c r="W43">
        <f t="shared" si="22"/>
        <v>8.8315702549450883E-2</v>
      </c>
      <c r="X43">
        <f t="shared" ca="1" si="23"/>
        <v>0.21462448671051038</v>
      </c>
      <c r="Y43">
        <f t="shared" si="24"/>
        <v>0.42016806722689071</v>
      </c>
    </row>
    <row r="44" spans="1:25" x14ac:dyDescent="0.35">
      <c r="A44">
        <f t="shared" si="25"/>
        <v>0.43697478991596633</v>
      </c>
      <c r="B44">
        <f t="shared" si="10"/>
        <v>0.43697478991596633</v>
      </c>
      <c r="C44">
        <f t="shared" si="1"/>
        <v>3.4369747899159662</v>
      </c>
      <c r="D44">
        <f t="shared" si="11"/>
        <v>1.4063978532589503</v>
      </c>
      <c r="E44">
        <f t="shared" si="12"/>
        <v>3.2184873949579829</v>
      </c>
      <c r="F44">
        <f t="shared" si="2"/>
        <v>1.3569708173665374</v>
      </c>
      <c r="G44">
        <f t="shared" si="3"/>
        <v>0</v>
      </c>
      <c r="H44">
        <f t="shared" si="4"/>
        <v>0.47976163341606531</v>
      </c>
      <c r="I44">
        <f t="shared" si="5"/>
        <v>0</v>
      </c>
      <c r="J44">
        <f t="shared" si="13"/>
        <v>0.47976163341606531</v>
      </c>
      <c r="K44">
        <f t="shared" si="14"/>
        <v>0.47976163341606531</v>
      </c>
      <c r="L44">
        <f t="shared" ca="1" si="6"/>
        <v>0.22338394766253397</v>
      </c>
      <c r="M44">
        <f t="shared" ca="1" si="15"/>
        <v>0.69510203702425077</v>
      </c>
      <c r="N44">
        <f t="shared" si="16"/>
        <v>0.31423345413301246</v>
      </c>
      <c r="O44">
        <f t="shared" ca="1" si="17"/>
        <v>7.8566230669181808E-2</v>
      </c>
      <c r="P44">
        <f t="shared" ca="1" si="18"/>
        <v>15.355031215495829</v>
      </c>
      <c r="Q44">
        <f t="shared" ca="1" si="19"/>
        <v>42.71816845068647</v>
      </c>
      <c r="R44">
        <f t="shared" ca="1" si="20"/>
        <v>30.712586885535426</v>
      </c>
      <c r="S44">
        <f t="shared" ca="1" si="21"/>
        <v>46.067618101031258</v>
      </c>
      <c r="T44">
        <f t="shared" ca="1" si="7"/>
        <v>32.005542223463777</v>
      </c>
      <c r="U44">
        <f t="shared" ca="1" si="8"/>
        <v>64.016346340267788</v>
      </c>
      <c r="V44">
        <f t="shared" ca="1" si="9"/>
        <v>96.021888563731565</v>
      </c>
      <c r="W44">
        <f t="shared" si="22"/>
        <v>9.3912488376031306E-2</v>
      </c>
      <c r="X44">
        <f ca="1">L44/$B$5</f>
        <v>0.22338394766253397</v>
      </c>
      <c r="Y44">
        <f t="shared" si="24"/>
        <v>0.43697478991596633</v>
      </c>
    </row>
    <row r="45" spans="1:25" x14ac:dyDescent="0.35">
      <c r="A45">
        <f t="shared" si="25"/>
        <v>0.45378151260504196</v>
      </c>
      <c r="B45">
        <f t="shared" si="10"/>
        <v>0.45378151260504196</v>
      </c>
      <c r="C45">
        <f t="shared" si="1"/>
        <v>3.4537815126050422</v>
      </c>
      <c r="D45">
        <f t="shared" si="11"/>
        <v>1.4643033684061857</v>
      </c>
      <c r="E45">
        <f t="shared" si="12"/>
        <v>3.2268907563025206</v>
      </c>
      <c r="F45">
        <f t="shared" si="2"/>
        <v>1.439754957559328</v>
      </c>
      <c r="G45">
        <f t="shared" si="3"/>
        <v>0</v>
      </c>
      <c r="H45">
        <f t="shared" si="4"/>
        <v>0.50903024686857545</v>
      </c>
      <c r="I45">
        <f t="shared" si="5"/>
        <v>0</v>
      </c>
      <c r="J45">
        <f t="shared" si="13"/>
        <v>0.50903024686857545</v>
      </c>
      <c r="K45">
        <f t="shared" si="14"/>
        <v>0.50903024686857545</v>
      </c>
      <c r="L45">
        <f t="shared" ca="1" si="6"/>
        <v>0.23218475451174325</v>
      </c>
      <c r="M45">
        <f t="shared" ca="1" si="15"/>
        <v>0.72350914364906904</v>
      </c>
      <c r="N45">
        <f t="shared" si="16"/>
        <v>0.34002370102761809</v>
      </c>
      <c r="O45">
        <f t="shared" ca="1" si="17"/>
        <v>8.5036981822934538E-2</v>
      </c>
      <c r="P45">
        <f t="shared" ca="1" si="18"/>
        <v>16.597118797147047</v>
      </c>
      <c r="Q45">
        <f t="shared" ca="1" si="19"/>
        <v>44.319351618659738</v>
      </c>
      <c r="R45">
        <f t="shared" ca="1" si="20"/>
        <v>33.205602234185598</v>
      </c>
      <c r="S45">
        <f t="shared" ca="1" si="21"/>
        <v>49.802721031332645</v>
      </c>
      <c r="T45">
        <f t="shared" ca="1" si="7"/>
        <v>32.605368539980283</v>
      </c>
      <c r="U45">
        <f t="shared" ca="1" si="8"/>
        <v>65.233063140074705</v>
      </c>
      <c r="V45">
        <f t="shared" ca="1" si="9"/>
        <v>97.838431680054995</v>
      </c>
      <c r="W45">
        <f t="shared" si="22"/>
        <v>9.9641767520488561E-2</v>
      </c>
      <c r="X45">
        <f t="shared" ca="1" si="23"/>
        <v>0.23218475451174325</v>
      </c>
      <c r="Y45">
        <f t="shared" si="24"/>
        <v>0.45378151260504196</v>
      </c>
    </row>
    <row r="46" spans="1:25" x14ac:dyDescent="0.35">
      <c r="A46">
        <f t="shared" si="25"/>
        <v>0.47058823529411759</v>
      </c>
      <c r="B46">
        <f t="shared" si="10"/>
        <v>0.47058823529411759</v>
      </c>
      <c r="C46">
        <f t="shared" si="1"/>
        <v>3.4705882352941178</v>
      </c>
      <c r="D46">
        <f t="shared" si="11"/>
        <v>1.5224913494809686</v>
      </c>
      <c r="E46">
        <f t="shared" si="12"/>
        <v>3.2352941176470589</v>
      </c>
      <c r="F46">
        <f t="shared" si="2"/>
        <v>1.5244370261208489</v>
      </c>
      <c r="G46">
        <f t="shared" si="3"/>
        <v>0</v>
      </c>
      <c r="H46">
        <f t="shared" si="4"/>
        <v>0.53896987933095319</v>
      </c>
      <c r="I46">
        <f t="shared" si="5"/>
        <v>0</v>
      </c>
      <c r="J46">
        <f t="shared" si="13"/>
        <v>0.53896987933095319</v>
      </c>
      <c r="K46">
        <f t="shared" si="14"/>
        <v>0.53896987933095319</v>
      </c>
      <c r="L46">
        <f t="shared" ca="1" si="6"/>
        <v>0.24095558508286427</v>
      </c>
      <c r="M46">
        <f t="shared" ca="1" si="15"/>
        <v>0.75189655223990548</v>
      </c>
      <c r="N46">
        <f t="shared" si="16"/>
        <v>0.36691770133658991</v>
      </c>
      <c r="O46">
        <f t="shared" ca="1" si="17"/>
        <v>9.1752652119857184E-2</v>
      </c>
      <c r="P46">
        <f t="shared" ca="1" si="18"/>
        <v>17.897185797140242</v>
      </c>
      <c r="Q46">
        <f t="shared" ca="1" si="19"/>
        <v>45.926530042250661</v>
      </c>
      <c r="R46">
        <f t="shared" ca="1" si="20"/>
        <v>35.802586202564342</v>
      </c>
      <c r="S46">
        <f t="shared" ca="1" si="21"/>
        <v>53.699771999704581</v>
      </c>
      <c r="T46">
        <f t="shared" ca="1" si="7"/>
        <v>33.20628198992641</v>
      </c>
      <c r="U46">
        <f t="shared" ca="1" si="8"/>
        <v>66.427805292213463</v>
      </c>
      <c r="V46">
        <f t="shared" ca="1" si="9"/>
        <v>99.634087282139859</v>
      </c>
      <c r="W46">
        <f t="shared" si="22"/>
        <v>0.10550239744536481</v>
      </c>
      <c r="X46">
        <f t="shared" ca="1" si="23"/>
        <v>0.24095558508286427</v>
      </c>
      <c r="Y46">
        <f t="shared" si="24"/>
        <v>0.47058823529411759</v>
      </c>
    </row>
    <row r="47" spans="1:25" x14ac:dyDescent="0.35">
      <c r="A47">
        <f t="shared" si="25"/>
        <v>0.48739495798319321</v>
      </c>
      <c r="B47">
        <f t="shared" si="10"/>
        <v>0.48739495798319321</v>
      </c>
      <c r="C47">
        <f t="shared" si="1"/>
        <v>3.4873949579831933</v>
      </c>
      <c r="D47">
        <f t="shared" si="11"/>
        <v>1.5809617964832989</v>
      </c>
      <c r="E47">
        <f t="shared" si="12"/>
        <v>3.2436974789915967</v>
      </c>
      <c r="F47">
        <f t="shared" si="2"/>
        <v>1.6110017550268327</v>
      </c>
      <c r="G47">
        <f t="shared" si="3"/>
        <v>0</v>
      </c>
      <c r="H47">
        <f t="shared" si="4"/>
        <v>0.56957513274145133</v>
      </c>
      <c r="I47">
        <f t="shared" si="5"/>
        <v>0</v>
      </c>
      <c r="J47">
        <f t="shared" si="13"/>
        <v>0.56957513274145133</v>
      </c>
      <c r="K47">
        <f t="shared" si="14"/>
        <v>0.56957513274145133</v>
      </c>
      <c r="L47">
        <f t="shared" ca="1" si="6"/>
        <v>0.24979641818932277</v>
      </c>
      <c r="M47">
        <f t="shared" ca="1" si="15"/>
        <v>0.78058837983807583</v>
      </c>
      <c r="N47">
        <f t="shared" si="16"/>
        <v>0.39492494971295478</v>
      </c>
      <c r="O47">
        <f t="shared" ca="1" si="17"/>
        <v>9.8792995639064435E-2</v>
      </c>
      <c r="P47">
        <f t="shared" ca="1" si="18"/>
        <v>19.240308276392632</v>
      </c>
      <c r="Q47">
        <f t="shared" ca="1" si="19"/>
        <v>47.519707958774084</v>
      </c>
      <c r="R47">
        <f t="shared" ca="1" si="20"/>
        <v>38.503509216980731</v>
      </c>
      <c r="S47">
        <f t="shared" ca="1" si="21"/>
        <v>57.743817493373363</v>
      </c>
      <c r="T47">
        <f t="shared" ca="1" si="7"/>
        <v>33.780105855018839</v>
      </c>
      <c r="U47">
        <f t="shared" ca="1" si="8"/>
        <v>67.600404237554244</v>
      </c>
      <c r="V47">
        <f t="shared" ca="1" si="9"/>
        <v>101.38051009257309</v>
      </c>
      <c r="W47">
        <f t="shared" si="22"/>
        <v>0.1114933214896522</v>
      </c>
      <c r="X47">
        <f t="shared" ca="1" si="23"/>
        <v>0.24979641818932277</v>
      </c>
      <c r="Y47">
        <f t="shared" si="24"/>
        <v>0.48739495798319321</v>
      </c>
    </row>
    <row r="48" spans="1:25" x14ac:dyDescent="0.35">
      <c r="A48">
        <f t="shared" si="25"/>
        <v>0.50420168067226889</v>
      </c>
      <c r="B48">
        <f t="shared" si="10"/>
        <v>0.50420168067226889</v>
      </c>
      <c r="C48">
        <f t="shared" si="1"/>
        <v>3.5042016806722689</v>
      </c>
      <c r="D48">
        <f t="shared" si="11"/>
        <v>1.639714709413177</v>
      </c>
      <c r="E48">
        <f t="shared" si="12"/>
        <v>3.2521008403361344</v>
      </c>
      <c r="F48">
        <f t="shared" si="2"/>
        <v>1.6994350030510512</v>
      </c>
      <c r="G48">
        <f t="shared" si="3"/>
        <v>0</v>
      </c>
      <c r="H48">
        <f t="shared" si="4"/>
        <v>0.60084100742158975</v>
      </c>
      <c r="I48">
        <f t="shared" si="5"/>
        <v>0</v>
      </c>
      <c r="J48">
        <f t="shared" si="13"/>
        <v>0.60084100742158975</v>
      </c>
      <c r="K48">
        <f t="shared" si="14"/>
        <v>0.60084100742158975</v>
      </c>
      <c r="L48">
        <f t="shared" ca="1" si="6"/>
        <v>0.25857909594750905</v>
      </c>
      <c r="M48">
        <f t="shared" ca="1" si="15"/>
        <v>0.80916886227304274</v>
      </c>
      <c r="N48">
        <f t="shared" si="16"/>
        <v>0.4240549408097396</v>
      </c>
      <c r="O48">
        <f t="shared" ca="1" si="17"/>
        <v>0.10605786081977635</v>
      </c>
      <c r="P48">
        <f t="shared" ca="1" si="18"/>
        <v>20.647057138701857</v>
      </c>
      <c r="Q48">
        <f t="shared" ca="1" si="19"/>
        <v>49.124516944951964</v>
      </c>
      <c r="R48">
        <f t="shared" ca="1" si="20"/>
        <v>41.310048914682504</v>
      </c>
      <c r="S48">
        <f t="shared" ca="1" si="21"/>
        <v>61.957106053384365</v>
      </c>
      <c r="T48">
        <f t="shared" ca="1" si="7"/>
        <v>34.363595166889993</v>
      </c>
      <c r="U48">
        <f t="shared" ca="1" si="8"/>
        <v>68.753710889271318</v>
      </c>
      <c r="V48">
        <f t="shared" ca="1" si="9"/>
        <v>103.11730605616133</v>
      </c>
      <c r="W48">
        <f t="shared" si="22"/>
        <v>0.11761356097516047</v>
      </c>
      <c r="X48">
        <f t="shared" ca="1" si="23"/>
        <v>0.25857909594750905</v>
      </c>
      <c r="Y48">
        <f t="shared" si="24"/>
        <v>0.50420168067226889</v>
      </c>
    </row>
    <row r="49" spans="1:27" x14ac:dyDescent="0.35">
      <c r="A49">
        <f t="shared" si="25"/>
        <v>0.52100840336134457</v>
      </c>
      <c r="B49">
        <f t="shared" si="10"/>
        <v>0.52100840336134457</v>
      </c>
      <c r="C49">
        <f t="shared" si="1"/>
        <v>3.5210084033613445</v>
      </c>
      <c r="D49">
        <f t="shared" si="11"/>
        <v>1.6987500882706026</v>
      </c>
      <c r="E49">
        <f t="shared" si="12"/>
        <v>3.2605042016806727</v>
      </c>
      <c r="F49">
        <f t="shared" si="2"/>
        <v>1.7897236554473583</v>
      </c>
      <c r="G49">
        <f t="shared" si="3"/>
        <v>0</v>
      </c>
      <c r="H49">
        <f t="shared" si="4"/>
        <v>0.63276286660840164</v>
      </c>
      <c r="I49">
        <f t="shared" si="5"/>
        <v>0</v>
      </c>
      <c r="J49">
        <f t="shared" si="13"/>
        <v>0.63276286660840164</v>
      </c>
      <c r="K49">
        <f t="shared" si="14"/>
        <v>0.63276286660840164</v>
      </c>
      <c r="L49">
        <f t="shared" ca="1" si="6"/>
        <v>0.26745896165221494</v>
      </c>
      <c r="M49">
        <f t="shared" ca="1" si="15"/>
        <v>0.8381440330406853</v>
      </c>
      <c r="N49">
        <f t="shared" si="16"/>
        <v>0.45431716927997101</v>
      </c>
      <c r="O49">
        <f t="shared" ca="1" si="17"/>
        <v>0.11367894044400047</v>
      </c>
      <c r="P49">
        <f t="shared" ca="1" si="18"/>
        <v>22.092285382513627</v>
      </c>
      <c r="Q49">
        <f t="shared" ca="1" si="19"/>
        <v>50.709888341825923</v>
      </c>
      <c r="R49">
        <f t="shared" ca="1" si="20"/>
        <v>44.221612299033239</v>
      </c>
      <c r="S49">
        <f t="shared" ca="1" si="21"/>
        <v>66.313897681546862</v>
      </c>
      <c r="T49">
        <f t="shared" ca="1" si="7"/>
        <v>34.914004200227339</v>
      </c>
      <c r="U49">
        <f t="shared" ca="1" si="8"/>
        <v>69.886547761660452</v>
      </c>
      <c r="V49">
        <f t="shared" ca="1" si="9"/>
        <v>104.80055196188778</v>
      </c>
      <c r="W49">
        <f t="shared" si="22"/>
        <v>0.12386220826376709</v>
      </c>
      <c r="X49">
        <f t="shared" ca="1" si="23"/>
        <v>0.26745896165221494</v>
      </c>
      <c r="Y49">
        <f t="shared" si="24"/>
        <v>0.52100840336134457</v>
      </c>
    </row>
    <row r="50" spans="1:27" s="38" customFormat="1" x14ac:dyDescent="0.35">
      <c r="A50">
        <f t="shared" si="25"/>
        <v>0.53781512605042026</v>
      </c>
      <c r="B50">
        <f t="shared" si="10"/>
        <v>0.53781512605042026</v>
      </c>
      <c r="C50" s="38">
        <f t="shared" ref="C50:C81" si="26">2*MIN(B50,$B$5)/$Q$5+$B$6+(B50&gt;$B$5)*(2*(B50-$B$5)/$Q$6)</f>
        <v>3.53781512605042</v>
      </c>
      <c r="D50" s="38">
        <f t="shared" si="11"/>
        <v>1.7580679330555755</v>
      </c>
      <c r="E50" s="38">
        <f t="shared" si="12"/>
        <v>3.26890756302521</v>
      </c>
      <c r="F50" s="38">
        <f t="shared" ref="F50:F81" si="27">E50*($Q$3*$B$4*B50^3/$I$11)^(1/2)</f>
        <v>1.8818555353331021</v>
      </c>
      <c r="G50" s="38">
        <f t="shared" ref="G50:G81" si="28">IF(B50&lt;$B$10,F50,0)</f>
        <v>0</v>
      </c>
      <c r="H50" s="38">
        <f t="shared" ref="H50:H81" si="29">IF(AND(B50&gt;=$B$10,B50&lt;$B$11),E50*((2*$Q$3*(B50-$B$10)^(3)/(3*SQRT(3)*$Q$4))^(1/2)+(2/3*$Q$3*$B$10^2*B50/(1+(2/3*$I$11/$B$4-1)*$B$10/B50))^(1/2)),0)</f>
        <v>0.66533640512373859</v>
      </c>
      <c r="I50" s="38">
        <f t="shared" si="5"/>
        <v>0</v>
      </c>
      <c r="J50" s="38">
        <f t="shared" si="13"/>
        <v>0.66533640512373859</v>
      </c>
      <c r="K50" s="38">
        <f t="shared" si="14"/>
        <v>0.66533640512373859</v>
      </c>
      <c r="L50" s="38">
        <f t="shared" ref="L50:L81" ca="1" si="30">FORECAST(K50,OFFSET($B$18:$B$136,MATCH(K50,$F$18:$F$136,1)-1,0,2),OFFSET($F$18:$F$136,MATCH(K50,$F$18:$F$136,1)-1,0,2))</f>
        <v>0.27625380587837334</v>
      </c>
      <c r="M50" s="38">
        <f t="shared" ca="1" si="15"/>
        <v>0.86691950026626297</v>
      </c>
      <c r="N50" s="38">
        <f t="shared" si="16"/>
        <v>0.48572112977667603</v>
      </c>
      <c r="O50" s="38">
        <f t="shared" ca="1" si="17"/>
        <v>0.12150179159467878</v>
      </c>
      <c r="P50" s="38">
        <f t="shared" ca="1" si="18"/>
        <v>23.607238404280373</v>
      </c>
      <c r="Q50" s="38">
        <f t="shared" ca="1" si="19"/>
        <v>52.312264034409381</v>
      </c>
      <c r="R50">
        <f t="shared" ca="1" si="20"/>
        <v>47.240493538471902</v>
      </c>
      <c r="S50" s="38">
        <f t="shared" ca="1" si="21"/>
        <v>70.847731942752276</v>
      </c>
      <c r="T50" s="38">
        <f t="shared" ref="T50:T81" ca="1" si="31">IFERROR(P50/$K50,0)</f>
        <v>35.481657432964191</v>
      </c>
      <c r="U50" s="38">
        <f t="shared" ref="U50:U81" ca="1" si="32">IFERROR(R50/$K50,0)</f>
        <v>71.002417986862099</v>
      </c>
      <c r="V50" s="38">
        <f t="shared" ref="V50:V81" ca="1" si="33">IFERROR(S50/$K50,0)</f>
        <v>106.48407541982628</v>
      </c>
      <c r="W50" s="38">
        <f t="shared" si="22"/>
        <v>0.13023842062448929</v>
      </c>
      <c r="X50" s="38">
        <f t="shared" ca="1" si="23"/>
        <v>0.27625380587837334</v>
      </c>
      <c r="Y50">
        <f t="shared" si="24"/>
        <v>0.53781512605042026</v>
      </c>
      <c r="Z50"/>
      <c r="AA50"/>
    </row>
    <row r="51" spans="1:27" x14ac:dyDescent="0.35">
      <c r="A51">
        <f t="shared" si="25"/>
        <v>0.55462184873949594</v>
      </c>
      <c r="B51">
        <f t="shared" si="10"/>
        <v>0.55462184873949594</v>
      </c>
      <c r="C51">
        <f t="shared" si="26"/>
        <v>3.554621848739496</v>
      </c>
      <c r="D51">
        <f t="shared" si="11"/>
        <v>1.8176682437680958</v>
      </c>
      <c r="E51">
        <f t="shared" si="12"/>
        <v>3.2773109243697478</v>
      </c>
      <c r="F51">
        <f t="shared" si="27"/>
        <v>1.9758193250920286</v>
      </c>
      <c r="G51">
        <f t="shared" si="28"/>
        <v>0</v>
      </c>
      <c r="H51">
        <f t="shared" si="29"/>
        <v>0.69855762158600065</v>
      </c>
      <c r="I51">
        <f t="shared" si="5"/>
        <v>0</v>
      </c>
      <c r="J51">
        <f t="shared" si="13"/>
        <v>0.69855762158600065</v>
      </c>
      <c r="K51">
        <f t="shared" si="14"/>
        <v>0.69855762158600065</v>
      </c>
      <c r="L51">
        <f t="shared" ca="1" si="30"/>
        <v>0.28517184028440001</v>
      </c>
      <c r="M51">
        <f t="shared" ca="1" si="15"/>
        <v>0.89617701009879569</v>
      </c>
      <c r="N51">
        <f t="shared" si="16"/>
        <v>0.51827631695288123</v>
      </c>
      <c r="O51">
        <f t="shared" ca="1" si="17"/>
        <v>0.1297148088813676</v>
      </c>
      <c r="P51">
        <f t="shared" ca="1" si="18"/>
        <v>25.155631432019455</v>
      </c>
      <c r="Q51">
        <f t="shared" ca="1" si="19"/>
        <v>53.890001691019187</v>
      </c>
      <c r="R51">
        <f t="shared" ca="1" si="20"/>
        <v>50.365422458078775</v>
      </c>
      <c r="S51">
        <f t="shared" ca="1" si="21"/>
        <v>75.52105389009823</v>
      </c>
      <c r="T51">
        <f t="shared" ca="1" si="31"/>
        <v>36.010818083848648</v>
      </c>
      <c r="U51">
        <f t="shared" ca="1" si="32"/>
        <v>72.099166771281446</v>
      </c>
      <c r="V51">
        <f t="shared" ca="1" si="33"/>
        <v>108.10998485513009</v>
      </c>
      <c r="W51">
        <f t="shared" si="22"/>
        <v>0.13674141479397958</v>
      </c>
      <c r="X51">
        <f t="shared" ca="1" si="23"/>
        <v>0.28517184028440001</v>
      </c>
      <c r="Y51">
        <f t="shared" si="24"/>
        <v>0.55462184873949594</v>
      </c>
    </row>
    <row r="52" spans="1:27" x14ac:dyDescent="0.35">
      <c r="A52">
        <f t="shared" si="25"/>
        <v>0.57142857142857162</v>
      </c>
      <c r="B52">
        <f t="shared" si="10"/>
        <v>0.57142857142857162</v>
      </c>
      <c r="C52">
        <f t="shared" si="26"/>
        <v>3.5714285714285716</v>
      </c>
      <c r="D52">
        <f t="shared" si="11"/>
        <v>1.877551020408164</v>
      </c>
      <c r="E52">
        <f t="shared" si="12"/>
        <v>3.285714285714286</v>
      </c>
      <c r="F52">
        <f t="shared" si="27"/>
        <v>2.0716044963999227</v>
      </c>
      <c r="G52">
        <f t="shared" si="28"/>
        <v>0</v>
      </c>
      <c r="H52">
        <f t="shared" si="29"/>
        <v>0.73242279367046415</v>
      </c>
      <c r="I52">
        <f t="shared" si="5"/>
        <v>0</v>
      </c>
      <c r="J52">
        <f t="shared" si="13"/>
        <v>0.73242279367046415</v>
      </c>
      <c r="K52">
        <f t="shared" si="14"/>
        <v>0.73242279367046415</v>
      </c>
      <c r="L52">
        <f t="shared" ca="1" si="30"/>
        <v>0.29397905209887354</v>
      </c>
      <c r="M52">
        <f t="shared" ca="1" si="15"/>
        <v>0.92514899783309668</v>
      </c>
      <c r="N52">
        <f t="shared" si="16"/>
        <v>0.55199222546161364</v>
      </c>
      <c r="O52">
        <f t="shared" ca="1" si="17"/>
        <v>0.13810444208565495</v>
      </c>
      <c r="P52">
        <f t="shared" ca="1" si="18"/>
        <v>26.780307912458078</v>
      </c>
      <c r="Q52">
        <f t="shared" ca="1" si="19"/>
        <v>55.489903865939617</v>
      </c>
      <c r="R52">
        <f t="shared" ca="1" si="20"/>
        <v>53.599427830004373</v>
      </c>
      <c r="S52">
        <f t="shared" ca="1" si="21"/>
        <v>80.379735742462458</v>
      </c>
      <c r="T52">
        <f t="shared" ca="1" si="31"/>
        <v>36.564001207896908</v>
      </c>
      <c r="U52">
        <f t="shared" ca="1" si="32"/>
        <v>73.180993673607787</v>
      </c>
      <c r="V52">
        <f t="shared" ca="1" si="33"/>
        <v>109.7449948815047</v>
      </c>
      <c r="W52">
        <f t="shared" si="22"/>
        <v>0.14337046213377877</v>
      </c>
      <c r="X52">
        <f t="shared" ca="1" si="23"/>
        <v>0.29397905209887354</v>
      </c>
      <c r="Y52">
        <f t="shared" si="24"/>
        <v>0.57142857142857162</v>
      </c>
    </row>
    <row r="53" spans="1:27" x14ac:dyDescent="0.35">
      <c r="A53">
        <f t="shared" si="25"/>
        <v>0.5882352941176473</v>
      </c>
      <c r="B53">
        <f t="shared" si="10"/>
        <v>0.5882352941176473</v>
      </c>
      <c r="C53">
        <f t="shared" si="26"/>
        <v>3.5882352941176472</v>
      </c>
      <c r="D53">
        <f t="shared" si="11"/>
        <v>1.9377162629757796</v>
      </c>
      <c r="E53">
        <f t="shared" si="12"/>
        <v>3.2941176470588238</v>
      </c>
      <c r="F53">
        <f t="shared" si="27"/>
        <v>2.1692012477060825</v>
      </c>
      <c r="G53">
        <f t="shared" si="28"/>
        <v>0</v>
      </c>
      <c r="H53">
        <f t="shared" si="29"/>
        <v>0.7669284560056453</v>
      </c>
      <c r="I53">
        <f t="shared" si="5"/>
        <v>0</v>
      </c>
      <c r="J53">
        <f t="shared" si="13"/>
        <v>0.7669284560056453</v>
      </c>
      <c r="K53">
        <f t="shared" si="14"/>
        <v>0.7669284560056453</v>
      </c>
      <c r="L53">
        <f t="shared" ca="1" si="30"/>
        <v>0.30292143234808616</v>
      </c>
      <c r="M53">
        <f t="shared" ca="1" si="15"/>
        <v>0.95464499413216652</v>
      </c>
      <c r="N53">
        <f t="shared" si="16"/>
        <v>0.58687834995589983</v>
      </c>
      <c r="O53">
        <f t="shared" ca="1" si="17"/>
        <v>0.14690758891638939</v>
      </c>
      <c r="P53">
        <f t="shared" ca="1" si="18"/>
        <v>28.435480836230532</v>
      </c>
      <c r="Q53">
        <f t="shared" ca="1" si="19"/>
        <v>57.06277235391223</v>
      </c>
      <c r="R53">
        <f t="shared" ca="1" si="20"/>
        <v>56.940591598305438</v>
      </c>
      <c r="S53">
        <f t="shared" ca="1" si="21"/>
        <v>85.376072434535971</v>
      </c>
      <c r="T53">
        <f t="shared" ca="1" si="31"/>
        <v>37.077097105419206</v>
      </c>
      <c r="U53">
        <f t="shared" ca="1" si="32"/>
        <v>74.244984851476559</v>
      </c>
      <c r="V53">
        <f t="shared" ca="1" si="33"/>
        <v>111.32208195689576</v>
      </c>
      <c r="W53">
        <f t="shared" si="22"/>
        <v>0.15012488430356841</v>
      </c>
      <c r="X53">
        <f t="shared" ca="1" si="23"/>
        <v>0.30292143234808616</v>
      </c>
      <c r="Y53">
        <f t="shared" si="24"/>
        <v>0.5882352941176473</v>
      </c>
    </row>
    <row r="54" spans="1:27" x14ac:dyDescent="0.35">
      <c r="A54">
        <f t="shared" si="25"/>
        <v>0.60504201680672298</v>
      </c>
      <c r="B54">
        <f t="shared" si="10"/>
        <v>0.60504201680672298</v>
      </c>
      <c r="C54">
        <f t="shared" si="26"/>
        <v>3.6050420168067232</v>
      </c>
      <c r="D54">
        <f t="shared" si="11"/>
        <v>1.9981639714709423</v>
      </c>
      <c r="E54">
        <f t="shared" si="12"/>
        <v>3.3025210084033612</v>
      </c>
      <c r="F54">
        <f t="shared" si="27"/>
        <v>2.2686004481902291</v>
      </c>
      <c r="G54">
        <f t="shared" si="28"/>
        <v>0</v>
      </c>
      <c r="H54">
        <f t="shared" si="29"/>
        <v>0.8020713803590761</v>
      </c>
      <c r="I54">
        <f t="shared" si="5"/>
        <v>0</v>
      </c>
      <c r="J54">
        <f t="shared" si="13"/>
        <v>0.8020713803590761</v>
      </c>
      <c r="K54">
        <f t="shared" si="14"/>
        <v>0.8020713803590761</v>
      </c>
      <c r="L54">
        <f t="shared" ca="1" si="30"/>
        <v>0.31175418319559794</v>
      </c>
      <c r="M54">
        <f t="shared" ca="1" si="15"/>
        <v>0.98385788495677107</v>
      </c>
      <c r="N54">
        <f t="shared" si="16"/>
        <v>0.62294418508876681</v>
      </c>
      <c r="O54">
        <f t="shared" ca="1" si="17"/>
        <v>0.1558858721668539</v>
      </c>
      <c r="P54">
        <f t="shared" ca="1" si="18"/>
        <v>30.168829482072791</v>
      </c>
      <c r="Q54">
        <f t="shared" ca="1" si="19"/>
        <v>58.657566722225006</v>
      </c>
      <c r="R54">
        <f t="shared" ca="1" si="20"/>
        <v>60.39234897545645</v>
      </c>
      <c r="S54">
        <f t="shared" ca="1" si="21"/>
        <v>90.561178457529238</v>
      </c>
      <c r="T54">
        <f t="shared" ca="1" si="31"/>
        <v>37.613646641482994</v>
      </c>
      <c r="U54">
        <f t="shared" ca="1" si="32"/>
        <v>75.295479248267952</v>
      </c>
      <c r="V54">
        <f t="shared" ca="1" si="33"/>
        <v>112.90912588975094</v>
      </c>
      <c r="W54">
        <f t="shared" si="22"/>
        <v>0.15700404938257156</v>
      </c>
      <c r="X54">
        <f t="shared" ca="1" si="23"/>
        <v>0.31175418319559794</v>
      </c>
      <c r="Y54">
        <f t="shared" si="24"/>
        <v>0.60504201680672298</v>
      </c>
    </row>
    <row r="55" spans="1:27" x14ac:dyDescent="0.35">
      <c r="A55">
        <f t="shared" si="25"/>
        <v>0.62184873949579866</v>
      </c>
      <c r="B55">
        <f t="shared" si="10"/>
        <v>0.62184873949579866</v>
      </c>
      <c r="C55">
        <f t="shared" si="26"/>
        <v>3.6218487394957988</v>
      </c>
      <c r="D55">
        <f t="shared" si="11"/>
        <v>2.0588941458936527</v>
      </c>
      <c r="E55">
        <f t="shared" si="12"/>
        <v>3.3109243697478989</v>
      </c>
      <c r="F55">
        <f t="shared" si="27"/>
        <v>2.369793587366849</v>
      </c>
      <c r="G55">
        <f t="shared" si="28"/>
        <v>0</v>
      </c>
      <c r="H55">
        <f t="shared" si="29"/>
        <v>0.8378485578197471</v>
      </c>
      <c r="I55">
        <f t="shared" si="5"/>
        <v>0</v>
      </c>
      <c r="J55">
        <f t="shared" si="13"/>
        <v>0.8378485578197471</v>
      </c>
      <c r="K55">
        <f t="shared" si="14"/>
        <v>0.8378485578197471</v>
      </c>
      <c r="L55">
        <f t="shared" ca="1" si="30"/>
        <v>0.32070357649457837</v>
      </c>
      <c r="M55">
        <f t="shared" ca="1" si="15"/>
        <v>1.0135361214719421</v>
      </c>
      <c r="N55">
        <f t="shared" si="16"/>
        <v>0.66019922551324117</v>
      </c>
      <c r="O55">
        <f t="shared" ca="1" si="17"/>
        <v>0.16527104738678988</v>
      </c>
      <c r="P55">
        <f t="shared" ca="1" si="18"/>
        <v>31.935624195420374</v>
      </c>
      <c r="Q55">
        <f t="shared" ca="1" si="19"/>
        <v>60.229032600244061</v>
      </c>
      <c r="R55">
        <f t="shared" ca="1" si="20"/>
        <v>63.952709819331844</v>
      </c>
      <c r="S55">
        <f t="shared" ca="1" si="21"/>
        <v>95.888334014752218</v>
      </c>
      <c r="T55">
        <f t="shared" ca="1" si="31"/>
        <v>38.11622505924386</v>
      </c>
      <c r="U55">
        <f t="shared" ca="1" si="32"/>
        <v>76.329677031073302</v>
      </c>
      <c r="V55">
        <f t="shared" ca="1" si="33"/>
        <v>114.44590209031716</v>
      </c>
      <c r="W55">
        <f t="shared" si="22"/>
        <v>0.16400736838179766</v>
      </c>
      <c r="X55">
        <f t="shared" ca="1" si="23"/>
        <v>0.32070357649457837</v>
      </c>
      <c r="Y55">
        <f t="shared" si="24"/>
        <v>0.62184873949579866</v>
      </c>
    </row>
    <row r="56" spans="1:27" x14ac:dyDescent="0.35">
      <c r="A56">
        <f t="shared" si="25"/>
        <v>0.63865546218487435</v>
      </c>
      <c r="B56">
        <f t="shared" si="10"/>
        <v>0.63865546218487435</v>
      </c>
      <c r="C56">
        <f t="shared" si="26"/>
        <v>3.6386554621848743</v>
      </c>
      <c r="D56">
        <f t="shared" si="11"/>
        <v>2.1199067862439107</v>
      </c>
      <c r="E56">
        <f t="shared" si="12"/>
        <v>3.3193277310924372</v>
      </c>
      <c r="F56">
        <f t="shared" si="27"/>
        <v>2.4727727296341402</v>
      </c>
      <c r="G56">
        <f t="shared" si="28"/>
        <v>0</v>
      </c>
      <c r="H56">
        <f t="shared" si="29"/>
        <v>0.87425718272873498</v>
      </c>
      <c r="I56">
        <f t="shared" si="5"/>
        <v>0</v>
      </c>
      <c r="J56">
        <f t="shared" si="13"/>
        <v>0.87425718272873498</v>
      </c>
      <c r="K56">
        <f t="shared" si="14"/>
        <v>0.87425718272873498</v>
      </c>
      <c r="L56">
        <f t="shared" ca="1" si="30"/>
        <v>0.32957855888274096</v>
      </c>
      <c r="M56">
        <f t="shared" ca="1" si="15"/>
        <v>1.043046689885835</v>
      </c>
      <c r="N56">
        <f t="shared" si="16"/>
        <v>0.69865296588234993</v>
      </c>
      <c r="O56">
        <f t="shared" ca="1" si="17"/>
        <v>0.17486620336237896</v>
      </c>
      <c r="P56">
        <f t="shared" ca="1" si="18"/>
        <v>33.775352768789382</v>
      </c>
      <c r="Q56">
        <f t="shared" ca="1" si="19"/>
        <v>61.815380660426676</v>
      </c>
      <c r="R56">
        <f t="shared" ca="1" si="20"/>
        <v>67.62474377786836</v>
      </c>
      <c r="S56">
        <f t="shared" ca="1" si="21"/>
        <v>101.40009654665775</v>
      </c>
      <c r="T56">
        <f t="shared" ca="1" si="31"/>
        <v>38.63320020245029</v>
      </c>
      <c r="U56">
        <f t="shared" ca="1" si="32"/>
        <v>77.351087430357438</v>
      </c>
      <c r="V56">
        <f t="shared" ca="1" si="33"/>
        <v>115.98428763280774</v>
      </c>
      <c r="W56">
        <f t="shared" si="22"/>
        <v>0.17113429209849124</v>
      </c>
      <c r="X56">
        <f t="shared" ca="1" si="23"/>
        <v>0.32957855888274096</v>
      </c>
      <c r="Y56">
        <f t="shared" si="24"/>
        <v>0.63865546218487435</v>
      </c>
    </row>
    <row r="57" spans="1:27" x14ac:dyDescent="0.35">
      <c r="A57">
        <f t="shared" si="25"/>
        <v>0.65546218487395003</v>
      </c>
      <c r="B57">
        <f t="shared" si="10"/>
        <v>0.65546218487395003</v>
      </c>
      <c r="C57">
        <f t="shared" si="26"/>
        <v>3.6554621848739499</v>
      </c>
      <c r="D57">
        <f t="shared" si="11"/>
        <v>2.1812018925217163</v>
      </c>
      <c r="E57">
        <f t="shared" si="12"/>
        <v>3.327731092436975</v>
      </c>
      <c r="F57">
        <f t="shared" si="27"/>
        <v>2.5775304731682676</v>
      </c>
      <c r="G57">
        <f t="shared" si="28"/>
        <v>0</v>
      </c>
      <c r="H57">
        <f t="shared" si="29"/>
        <v>0.91129463814612643</v>
      </c>
      <c r="I57">
        <f t="shared" si="5"/>
        <v>0</v>
      </c>
      <c r="J57">
        <f t="shared" si="13"/>
        <v>0.91129463814612643</v>
      </c>
      <c r="K57">
        <f t="shared" si="14"/>
        <v>0.91129463814612643</v>
      </c>
      <c r="L57">
        <f t="shared" ca="1" si="30"/>
        <v>0.33853549050195775</v>
      </c>
      <c r="M57">
        <f t="shared" ca="1" si="15"/>
        <v>1.0729096106705738</v>
      </c>
      <c r="N57">
        <f t="shared" si="16"/>
        <v>0.73831490084911977</v>
      </c>
      <c r="O57">
        <f t="shared" ca="1" si="17"/>
        <v>0.18484218171038425</v>
      </c>
      <c r="P57">
        <f t="shared" ca="1" si="18"/>
        <v>35.655289576545002</v>
      </c>
      <c r="Q57">
        <f t="shared" ca="1" si="19"/>
        <v>63.385338874398457</v>
      </c>
      <c r="R57">
        <f t="shared" ca="1" si="20"/>
        <v>71.407075356680735</v>
      </c>
      <c r="S57">
        <f t="shared" ca="1" si="21"/>
        <v>107.06236493322574</v>
      </c>
      <c r="T57">
        <f t="shared" ca="1" si="31"/>
        <v>39.12597318588378</v>
      </c>
      <c r="U57">
        <f t="shared" ca="1" si="32"/>
        <v>78.357835509650599</v>
      </c>
      <c r="V57">
        <f t="shared" ca="1" si="33"/>
        <v>117.48380869553438</v>
      </c>
      <c r="W57">
        <f t="shared" si="22"/>
        <v>0.17838430827130819</v>
      </c>
      <c r="X57">
        <f t="shared" ca="1" si="23"/>
        <v>0.33853549050195775</v>
      </c>
      <c r="Y57">
        <f t="shared" si="24"/>
        <v>0.65546218487395003</v>
      </c>
    </row>
    <row r="58" spans="1:27" x14ac:dyDescent="0.35">
      <c r="A58">
        <f t="shared" si="25"/>
        <v>0.67226890756302571</v>
      </c>
      <c r="B58">
        <f t="shared" si="10"/>
        <v>0.67226890756302571</v>
      </c>
      <c r="C58">
        <f t="shared" si="26"/>
        <v>3.6722689075630255</v>
      </c>
      <c r="D58">
        <f t="shared" si="11"/>
        <v>2.2427794647270693</v>
      </c>
      <c r="E58">
        <f t="shared" si="12"/>
        <v>3.3361344537815132</v>
      </c>
      <c r="F58">
        <f t="shared" si="27"/>
        <v>2.6840599126496052</v>
      </c>
      <c r="G58">
        <f t="shared" si="28"/>
        <v>0</v>
      </c>
      <c r="H58">
        <f t="shared" si="29"/>
        <v>0.94895848267275418</v>
      </c>
      <c r="I58">
        <f>IF(B58&gt;=$B$11,$Q$14+E58*2/3*SQRT(2*9.8)*(ABS(B58-$B$11))^(3/2),0)</f>
        <v>0</v>
      </c>
      <c r="J58">
        <f t="shared" si="13"/>
        <v>0.94895848267275418</v>
      </c>
      <c r="K58">
        <f t="shared" si="14"/>
        <v>0.94895848267275418</v>
      </c>
      <c r="L58">
        <f t="shared" ca="1" si="30"/>
        <v>0.3474515497703663</v>
      </c>
      <c r="M58">
        <f t="shared" ca="1" si="15"/>
        <v>1.1027159390300136</v>
      </c>
      <c r="N58">
        <f t="shared" si="16"/>
        <v>0.77919452506657749</v>
      </c>
      <c r="O58">
        <f t="shared" ca="1" si="17"/>
        <v>0.19506561826272731</v>
      </c>
      <c r="P58">
        <f t="shared" ca="1" si="18"/>
        <v>37.602413592748071</v>
      </c>
      <c r="Q58">
        <f t="shared" ca="1" si="19"/>
        <v>64.963471558531879</v>
      </c>
      <c r="R58">
        <f t="shared" ca="1" si="20"/>
        <v>75.302088840130935</v>
      </c>
      <c r="S58">
        <f t="shared" ca="1" si="21"/>
        <v>112.90450243287901</v>
      </c>
      <c r="T58">
        <f t="shared" ca="1" si="31"/>
        <v>39.624930151675734</v>
      </c>
      <c r="U58">
        <f t="shared" ca="1" si="32"/>
        <v>79.352353359065404</v>
      </c>
      <c r="V58">
        <f t="shared" ca="1" si="33"/>
        <v>118.97728351074115</v>
      </c>
      <c r="W58">
        <f t="shared" si="22"/>
        <v>0.18575693900069393</v>
      </c>
      <c r="X58">
        <f t="shared" ca="1" si="23"/>
        <v>0.3474515497703663</v>
      </c>
      <c r="Y58">
        <f t="shared" si="24"/>
        <v>0.67226890756302571</v>
      </c>
    </row>
    <row r="59" spans="1:27" x14ac:dyDescent="0.35">
      <c r="A59">
        <f t="shared" si="25"/>
        <v>0.68907563025210139</v>
      </c>
      <c r="B59">
        <f t="shared" si="10"/>
        <v>0.68907563025210139</v>
      </c>
      <c r="C59">
        <f t="shared" si="26"/>
        <v>3.6890756302521015</v>
      </c>
      <c r="D59">
        <f t="shared" si="11"/>
        <v>2.3046395028599695</v>
      </c>
      <c r="E59">
        <f t="shared" si="12"/>
        <v>3.3445378151260505</v>
      </c>
      <c r="F59">
        <f t="shared" si="27"/>
        <v>2.7923546053794528</v>
      </c>
      <c r="G59">
        <f t="shared" si="28"/>
        <v>0</v>
      </c>
      <c r="H59">
        <f t="shared" si="29"/>
        <v>0.98724643847064875</v>
      </c>
      <c r="I59">
        <f t="shared" si="5"/>
        <v>0</v>
      </c>
      <c r="J59">
        <f t="shared" si="13"/>
        <v>0.98724643847064875</v>
      </c>
      <c r="K59">
        <f t="shared" si="14"/>
        <v>0.98724643847064875</v>
      </c>
      <c r="L59">
        <f t="shared" ca="1" si="30"/>
        <v>0.35641642959375203</v>
      </c>
      <c r="M59">
        <f t="shared" ca="1" si="15"/>
        <v>1.1327656244234352</v>
      </c>
      <c r="N59">
        <f t="shared" si="16"/>
        <v>0.82130133318775012</v>
      </c>
      <c r="O59">
        <f t="shared" ca="1" si="17"/>
        <v>0.20564118397351286</v>
      </c>
      <c r="P59">
        <f t="shared" ca="1" si="18"/>
        <v>39.597009105541026</v>
      </c>
      <c r="Q59">
        <f t="shared" ca="1" si="19"/>
        <v>66.531840131669867</v>
      </c>
      <c r="R59">
        <f t="shared" ca="1" si="20"/>
        <v>79.309162048611498</v>
      </c>
      <c r="S59">
        <f t="shared" ca="1" si="21"/>
        <v>118.90617115415253</v>
      </c>
      <c r="T59">
        <f t="shared" ca="1" si="31"/>
        <v>40.108535784521102</v>
      </c>
      <c r="U59">
        <f t="shared" ca="1" si="32"/>
        <v>80.333702871058165</v>
      </c>
      <c r="V59">
        <f t="shared" ca="1" si="33"/>
        <v>120.44223865557927</v>
      </c>
      <c r="W59">
        <f t="shared" si="22"/>
        <v>0.19325173840390808</v>
      </c>
      <c r="X59">
        <f t="shared" ca="1" si="23"/>
        <v>0.35641642959375203</v>
      </c>
      <c r="Y59">
        <f t="shared" si="24"/>
        <v>0.68907563025210139</v>
      </c>
    </row>
    <row r="60" spans="1:27" x14ac:dyDescent="0.35">
      <c r="A60">
        <f t="shared" si="25"/>
        <v>0.70588235294117707</v>
      </c>
      <c r="B60">
        <f t="shared" si="10"/>
        <v>0.70588235294117707</v>
      </c>
      <c r="C60">
        <f t="shared" si="26"/>
        <v>3.7058823529411771</v>
      </c>
      <c r="D60">
        <f t="shared" si="11"/>
        <v>2.3667820069204173</v>
      </c>
      <c r="E60">
        <f t="shared" si="12"/>
        <v>3.3529411764705883</v>
      </c>
      <c r="F60">
        <f t="shared" si="27"/>
        <v>2.9024085404060349</v>
      </c>
      <c r="G60">
        <f t="shared" si="28"/>
        <v>0</v>
      </c>
      <c r="H60">
        <f t="shared" si="29"/>
        <v>1.0261563803474285</v>
      </c>
      <c r="I60">
        <f t="shared" si="5"/>
        <v>0</v>
      </c>
      <c r="J60">
        <f t="shared" si="13"/>
        <v>1.0261563803474285</v>
      </c>
      <c r="K60">
        <f t="shared" si="14"/>
        <v>1.0261563803474285</v>
      </c>
      <c r="L60">
        <f t="shared" ca="1" si="30"/>
        <v>0.36537253713709111</v>
      </c>
      <c r="M60">
        <f t="shared" ca="1" si="15"/>
        <v>1.162866156858271</v>
      </c>
      <c r="N60">
        <f t="shared" si="16"/>
        <v>0.8646448198656641</v>
      </c>
      <c r="O60">
        <f t="shared" ca="1" si="17"/>
        <v>0.2165043599411125</v>
      </c>
      <c r="P60">
        <f t="shared" ca="1" si="18"/>
        <v>41.652534257557484</v>
      </c>
      <c r="Q60">
        <f t="shared" ca="1" si="19"/>
        <v>68.101963160817192</v>
      </c>
      <c r="R60">
        <f t="shared" ca="1" si="20"/>
        <v>83.429850744283286</v>
      </c>
      <c r="S60">
        <f t="shared" ca="1" si="21"/>
        <v>125.08238500184078</v>
      </c>
      <c r="T60">
        <f t="shared" ca="1" si="31"/>
        <v>40.590825195137484</v>
      </c>
      <c r="U60">
        <f t="shared" ca="1" si="32"/>
        <v>81.3032519624701</v>
      </c>
      <c r="V60">
        <f t="shared" ca="1" si="33"/>
        <v>121.8940771576076</v>
      </c>
      <c r="W60">
        <f t="shared" si="22"/>
        <v>0.20086829047831323</v>
      </c>
      <c r="X60">
        <f t="shared" ca="1" si="23"/>
        <v>0.36537253713709111</v>
      </c>
      <c r="Y60">
        <f t="shared" si="24"/>
        <v>0.70588235294117707</v>
      </c>
    </row>
    <row r="61" spans="1:27" x14ac:dyDescent="0.35">
      <c r="A61">
        <f t="shared" si="25"/>
        <v>0.72268907563025275</v>
      </c>
      <c r="B61">
        <f t="shared" si="10"/>
        <v>0.72268907563025275</v>
      </c>
      <c r="C61">
        <f t="shared" si="26"/>
        <v>3.7226890756302526</v>
      </c>
      <c r="D61">
        <f t="shared" si="11"/>
        <v>2.429206976908413</v>
      </c>
      <c r="E61">
        <f t="shared" si="12"/>
        <v>3.3613445378151265</v>
      </c>
      <c r="F61">
        <f t="shared" si="27"/>
        <v>3.0142161103293299</v>
      </c>
      <c r="G61">
        <f t="shared" si="28"/>
        <v>0</v>
      </c>
      <c r="H61">
        <f t="shared" si="29"/>
        <v>1.0656863257878042</v>
      </c>
      <c r="I61">
        <f t="shared" si="5"/>
        <v>0</v>
      </c>
      <c r="J61">
        <f t="shared" si="13"/>
        <v>1.0656863257878042</v>
      </c>
      <c r="K61">
        <f t="shared" si="14"/>
        <v>1.0656863257878042</v>
      </c>
      <c r="L61">
        <f t="shared" ca="1" si="30"/>
        <v>0.37434568144401947</v>
      </c>
      <c r="M61">
        <f t="shared" ca="1" si="15"/>
        <v>1.1931043889399522</v>
      </c>
      <c r="N61">
        <f t="shared" si="16"/>
        <v>0.90923447975334648</v>
      </c>
      <c r="O61">
        <f t="shared" ca="1" si="17"/>
        <v>0.22768830573315757</v>
      </c>
      <c r="P61">
        <f t="shared" ca="1" si="18"/>
        <v>43.763301678483877</v>
      </c>
      <c r="Q61">
        <f t="shared" ca="1" si="19"/>
        <v>69.668678837246659</v>
      </c>
      <c r="R61">
        <f t="shared" ca="1" si="20"/>
        <v>87.664433797087881</v>
      </c>
      <c r="S61">
        <f t="shared" ca="1" si="21"/>
        <v>131.42773547557175</v>
      </c>
      <c r="T61">
        <f t="shared" ca="1" si="31"/>
        <v>41.065837685523491</v>
      </c>
      <c r="U61">
        <f t="shared" ca="1" si="32"/>
        <v>82.261010276435997</v>
      </c>
      <c r="V61">
        <f t="shared" ca="1" si="33"/>
        <v>123.32684796195949</v>
      </c>
      <c r="W61">
        <f t="shared" si="22"/>
        <v>0.20860620715005959</v>
      </c>
      <c r="X61">
        <f t="shared" ca="1" si="23"/>
        <v>0.37434568144401947</v>
      </c>
      <c r="Y61">
        <f t="shared" si="24"/>
        <v>0.72268907563025275</v>
      </c>
    </row>
    <row r="62" spans="1:27" x14ac:dyDescent="0.35">
      <c r="A62">
        <f t="shared" si="25"/>
        <v>0.73949579831932843</v>
      </c>
      <c r="B62">
        <f t="shared" si="10"/>
        <v>0.73949579831932843</v>
      </c>
      <c r="C62">
        <f t="shared" si="26"/>
        <v>3.7394957983193287</v>
      </c>
      <c r="D62">
        <f t="shared" si="11"/>
        <v>2.4919144128239554</v>
      </c>
      <c r="E62">
        <f t="shared" si="12"/>
        <v>3.3697478991596639</v>
      </c>
      <c r="F62">
        <f t="shared" si="27"/>
        <v>3.1277720854973774</v>
      </c>
      <c r="G62">
        <f t="shared" si="28"/>
        <v>0</v>
      </c>
      <c r="H62">
        <f t="shared" si="29"/>
        <v>1.1058344258305928</v>
      </c>
      <c r="I62">
        <f t="shared" si="5"/>
        <v>0</v>
      </c>
      <c r="J62">
        <f t="shared" si="13"/>
        <v>1.1058344258305928</v>
      </c>
      <c r="K62">
        <f t="shared" si="14"/>
        <v>1.1058344258305928</v>
      </c>
      <c r="L62">
        <f t="shared" ca="1" si="30"/>
        <v>0.38334091270752185</v>
      </c>
      <c r="M62">
        <f t="shared" ca="1" si="15"/>
        <v>1.2234978658002835</v>
      </c>
      <c r="N62">
        <f t="shared" si="16"/>
        <v>0.95507980750382404</v>
      </c>
      <c r="O62">
        <f t="shared" ca="1" si="17"/>
        <v>0.23920273137000589</v>
      </c>
      <c r="P62">
        <f t="shared" ca="1" si="18"/>
        <v>45.928223860888082</v>
      </c>
      <c r="Q62">
        <f t="shared" ca="1" si="19"/>
        <v>71.23097712236131</v>
      </c>
      <c r="R62">
        <f t="shared" ca="1" si="20"/>
        <v>92.013486227201454</v>
      </c>
      <c r="S62">
        <f t="shared" ca="1" si="21"/>
        <v>137.94171008808954</v>
      </c>
      <c r="T62">
        <f t="shared" ca="1" si="31"/>
        <v>41.532640681168317</v>
      </c>
      <c r="U62">
        <f t="shared" ca="1" si="32"/>
        <v>83.207290420616161</v>
      </c>
      <c r="V62">
        <f t="shared" ca="1" si="33"/>
        <v>124.73993110178448</v>
      </c>
      <c r="W62">
        <f t="shared" si="22"/>
        <v>0.21646512648827665</v>
      </c>
      <c r="X62">
        <f t="shared" ca="1" si="23"/>
        <v>0.38334091270752185</v>
      </c>
      <c r="Y62">
        <f t="shared" si="24"/>
        <v>0.73949579831932843</v>
      </c>
    </row>
    <row r="63" spans="1:27" x14ac:dyDescent="0.35">
      <c r="A63">
        <f t="shared" si="25"/>
        <v>0.75630252100840412</v>
      </c>
      <c r="B63">
        <f t="shared" si="10"/>
        <v>0.75630252100840412</v>
      </c>
      <c r="C63">
        <f t="shared" si="26"/>
        <v>3.7563025210084042</v>
      </c>
      <c r="D63">
        <f>MIN(B63,$B$5)^2/$Q$5+$B$6*MIN(B63,$B$5)+(B63&gt;$B$5)*((B63-$B$5)^2/$Q$6+$B$7*(B63-$B$5))</f>
        <v>2.5549043146670458</v>
      </c>
      <c r="E63">
        <f>IFERROR(D63/B63,$B$6)</f>
        <v>3.3781512605042017</v>
      </c>
      <c r="F63">
        <f t="shared" si="27"/>
        <v>3.2430715903432223</v>
      </c>
      <c r="G63">
        <f t="shared" si="28"/>
        <v>0</v>
      </c>
      <c r="H63">
        <f t="shared" si="29"/>
        <v>1.146598956702567</v>
      </c>
      <c r="I63">
        <f t="shared" si="5"/>
        <v>0</v>
      </c>
      <c r="J63">
        <f t="shared" si="13"/>
        <v>1.146598956702567</v>
      </c>
      <c r="K63">
        <f t="shared" si="14"/>
        <v>1.146598956702567</v>
      </c>
      <c r="L63">
        <f t="shared" ca="1" si="30"/>
        <v>0.39232256125265247</v>
      </c>
      <c r="M63">
        <f t="shared" ca="1" si="15"/>
        <v>1.2539261797918781</v>
      </c>
      <c r="N63">
        <f t="shared" si="16"/>
        <v>1.0021902977701236</v>
      </c>
      <c r="O63">
        <f t="shared" ca="1" si="17"/>
        <v>0.25100385761788174</v>
      </c>
      <c r="P63">
        <f t="shared" ca="1" si="18"/>
        <v>48.156673228863475</v>
      </c>
      <c r="Q63">
        <f t="shared" ca="1" si="19"/>
        <v>72.795991951150327</v>
      </c>
      <c r="R63">
        <f t="shared" ca="1" si="20"/>
        <v>96.478344743727007</v>
      </c>
      <c r="S63">
        <f t="shared" ca="1" si="21"/>
        <v>144.63501797259048</v>
      </c>
      <c r="T63">
        <f t="shared" ca="1" si="31"/>
        <v>41.99957879549644</v>
      </c>
      <c r="U63">
        <f t="shared" ca="1" si="32"/>
        <v>84.143059942408385</v>
      </c>
      <c r="V63">
        <f t="shared" ca="1" si="33"/>
        <v>126.14263873790482</v>
      </c>
      <c r="W63">
        <f t="shared" si="22"/>
        <v>0.22444471106741415</v>
      </c>
      <c r="X63">
        <f t="shared" ca="1" si="23"/>
        <v>0.39232256125265247</v>
      </c>
      <c r="Y63">
        <f t="shared" si="24"/>
        <v>0.75630252100840412</v>
      </c>
    </row>
    <row r="64" spans="1:27" x14ac:dyDescent="0.35">
      <c r="A64">
        <f t="shared" si="25"/>
        <v>0.7731092436974798</v>
      </c>
      <c r="B64">
        <f t="shared" si="10"/>
        <v>0.7731092436974798</v>
      </c>
      <c r="C64">
        <f t="shared" si="26"/>
        <v>3.7731092436974798</v>
      </c>
      <c r="D64">
        <f t="shared" si="11"/>
        <v>2.6181766824376842</v>
      </c>
      <c r="E64">
        <f t="shared" si="12"/>
        <v>3.3865546218487403</v>
      </c>
      <c r="F64">
        <f t="shared" si="27"/>
        <v>3.3601100816429086</v>
      </c>
      <c r="G64">
        <f t="shared" si="28"/>
        <v>0</v>
      </c>
      <c r="H64">
        <f t="shared" si="29"/>
        <v>1.1879783121314924</v>
      </c>
      <c r="I64">
        <f t="shared" si="5"/>
        <v>0</v>
      </c>
      <c r="J64">
        <f t="shared" si="13"/>
        <v>1.1879783121314924</v>
      </c>
      <c r="K64">
        <f t="shared" si="14"/>
        <v>1.1879783121314924</v>
      </c>
      <c r="L64">
        <f t="shared" ca="1" si="30"/>
        <v>0.40135607843459631</v>
      </c>
      <c r="M64">
        <f t="shared" ca="1" si="15"/>
        <v>1.2846115861519878</v>
      </c>
      <c r="N64">
        <f t="shared" si="16"/>
        <v>1.0505754452052718</v>
      </c>
      <c r="O64">
        <f t="shared" ca="1" si="17"/>
        <v>0.26318109483820668</v>
      </c>
      <c r="P64">
        <f t="shared" ca="1" si="18"/>
        <v>50.431978596916615</v>
      </c>
      <c r="Q64">
        <f t="shared" ca="1" si="19"/>
        <v>74.350633052576697</v>
      </c>
      <c r="R64">
        <f t="shared" ca="1" si="20"/>
        <v>101.058442352757</v>
      </c>
      <c r="S64">
        <f t="shared" ca="1" si="21"/>
        <v>151.49042094967362</v>
      </c>
      <c r="T64">
        <f t="shared" ca="1" si="31"/>
        <v>42.451935428375485</v>
      </c>
      <c r="U64">
        <f t="shared" ca="1" si="32"/>
        <v>85.06758189165599</v>
      </c>
      <c r="V64">
        <f t="shared" ca="1" si="33"/>
        <v>127.51951732003148</v>
      </c>
      <c r="W64">
        <f t="shared" si="22"/>
        <v>0.23254464646253259</v>
      </c>
      <c r="X64">
        <f t="shared" ca="1" si="23"/>
        <v>0.40135607843459631</v>
      </c>
      <c r="Y64">
        <f t="shared" si="24"/>
        <v>0.7731092436974798</v>
      </c>
    </row>
    <row r="65" spans="1:25" x14ac:dyDescent="0.35">
      <c r="A65">
        <f t="shared" si="25"/>
        <v>0.78991596638655548</v>
      </c>
      <c r="B65">
        <f t="shared" si="10"/>
        <v>0.78991596638655548</v>
      </c>
      <c r="C65">
        <f t="shared" si="26"/>
        <v>3.7899159663865554</v>
      </c>
      <c r="D65">
        <f t="shared" si="11"/>
        <v>2.6817315161358692</v>
      </c>
      <c r="E65">
        <f t="shared" si="12"/>
        <v>3.3949579831932777</v>
      </c>
      <c r="F65">
        <f t="shared" si="27"/>
        <v>3.4788833285016505</v>
      </c>
      <c r="G65">
        <f t="shared" si="28"/>
        <v>0</v>
      </c>
      <c r="H65">
        <f t="shared" si="29"/>
        <v>1.2299709962701724</v>
      </c>
      <c r="I65">
        <f t="shared" si="5"/>
        <v>0</v>
      </c>
      <c r="J65">
        <f t="shared" si="13"/>
        <v>1.2299709962701724</v>
      </c>
      <c r="K65">
        <f t="shared" si="14"/>
        <v>1.2299709962701724</v>
      </c>
      <c r="L65">
        <f t="shared" ca="1" si="30"/>
        <v>0.41034640798698135</v>
      </c>
      <c r="M65">
        <f t="shared" ca="1" si="15"/>
        <v>1.315231311234853</v>
      </c>
      <c r="N65">
        <f t="shared" si="16"/>
        <v>1.1002447444622956</v>
      </c>
      <c r="O65">
        <f t="shared" ca="1" si="17"/>
        <v>0.27560820888424392</v>
      </c>
      <c r="P65">
        <f t="shared" ca="1" si="18"/>
        <v>52.779616996689114</v>
      </c>
      <c r="Q65">
        <f t="shared" ca="1" si="19"/>
        <v>75.913911679914818</v>
      </c>
      <c r="R65">
        <f t="shared" ca="1" si="20"/>
        <v>105.75633944146199</v>
      </c>
      <c r="S65">
        <f t="shared" ca="1" si="21"/>
        <v>158.53595643815112</v>
      </c>
      <c r="T65">
        <f t="shared" ca="1" si="31"/>
        <v>42.911269580128923</v>
      </c>
      <c r="U65">
        <f t="shared" ca="1" si="32"/>
        <v>85.982791270820996</v>
      </c>
      <c r="V65">
        <f t="shared" ca="1" si="33"/>
        <v>128.89406085094993</v>
      </c>
      <c r="W65">
        <f>K65/$Q$8</f>
        <v>0.24076463986419772</v>
      </c>
      <c r="X65">
        <f t="shared" ca="1" si="23"/>
        <v>0.41034640798698135</v>
      </c>
      <c r="Y65">
        <f t="shared" si="24"/>
        <v>0.78991596638655548</v>
      </c>
    </row>
    <row r="66" spans="1:25" x14ac:dyDescent="0.35">
      <c r="A66">
        <f t="shared" si="25"/>
        <v>0.80672268907563116</v>
      </c>
      <c r="B66">
        <f t="shared" si="10"/>
        <v>0.80672268907563116</v>
      </c>
      <c r="C66">
        <f t="shared" si="26"/>
        <v>3.8067226890756309</v>
      </c>
      <c r="D66">
        <f t="shared" si="11"/>
        <v>2.7455688157616023</v>
      </c>
      <c r="E66">
        <f t="shared" si="12"/>
        <v>3.4033613445378155</v>
      </c>
      <c r="F66">
        <f t="shared" si="27"/>
        <v>3.5993873938983283</v>
      </c>
      <c r="G66">
        <f t="shared" si="28"/>
        <v>0</v>
      </c>
      <c r="H66">
        <f t="shared" si="29"/>
        <v>1.2725756171714413</v>
      </c>
      <c r="I66">
        <f t="shared" si="5"/>
        <v>0</v>
      </c>
      <c r="J66">
        <f t="shared" si="13"/>
        <v>1.2725756171714413</v>
      </c>
      <c r="K66">
        <f t="shared" si="14"/>
        <v>1.2725756171714413</v>
      </c>
      <c r="L66">
        <f t="shared" ca="1" si="30"/>
        <v>0.41941744628689404</v>
      </c>
      <c r="M66">
        <f t="shared" ca="1" si="15"/>
        <v>1.346207835985592</v>
      </c>
      <c r="N66">
        <f t="shared" si="16"/>
        <v>1.1512076901942219</v>
      </c>
      <c r="O66">
        <f t="shared" ca="1" si="17"/>
        <v>0.28845987136874546</v>
      </c>
      <c r="P66">
        <f t="shared" ca="1" si="18"/>
        <v>55.166282050859252</v>
      </c>
      <c r="Q66">
        <f t="shared" ca="1" si="19"/>
        <v>77.461048557747418</v>
      </c>
      <c r="R66">
        <f ca="1">L66*E66*Q66</f>
        <v>110.57015668052257</v>
      </c>
      <c r="S66">
        <f t="shared" ca="1" si="21"/>
        <v>165.73643873138184</v>
      </c>
      <c r="T66">
        <f t="shared" ca="1" si="31"/>
        <v>43.350101405744013</v>
      </c>
      <c r="U66">
        <f t="shared" ca="1" si="32"/>
        <v>86.886904941874718</v>
      </c>
      <c r="V66">
        <f t="shared" ca="1" si="33"/>
        <v>130.23700634761875</v>
      </c>
      <c r="W66">
        <f t="shared" si="22"/>
        <v>0.24910441880122192</v>
      </c>
      <c r="X66">
        <f t="shared" ca="1" si="23"/>
        <v>0.41941744628689404</v>
      </c>
      <c r="Y66">
        <f>A66</f>
        <v>0.80672268907563116</v>
      </c>
    </row>
    <row r="67" spans="1:25" x14ac:dyDescent="0.35">
      <c r="A67">
        <f t="shared" si="25"/>
        <v>0.82352941176470684</v>
      </c>
      <c r="B67">
        <f t="shared" si="10"/>
        <v>0.82352941176470684</v>
      </c>
      <c r="C67">
        <f t="shared" si="26"/>
        <v>3.823529411764707</v>
      </c>
      <c r="D67">
        <f t="shared" si="11"/>
        <v>2.8096885813148824</v>
      </c>
      <c r="E67">
        <f t="shared" si="12"/>
        <v>3.4117647058823533</v>
      </c>
      <c r="F67">
        <f t="shared" si="27"/>
        <v>3.7216186176382449</v>
      </c>
      <c r="G67">
        <f t="shared" si="28"/>
        <v>0</v>
      </c>
      <c r="H67">
        <f t="shared" si="29"/>
        <v>1.3157908807610539</v>
      </c>
      <c r="I67">
        <f>IF(B67&gt;=$B$11,$Q$14+E67*2/3*SQRT(2*9.8)*(ABS(B67-$B$11))^(3/2),0)</f>
        <v>0</v>
      </c>
      <c r="J67">
        <f t="shared" si="13"/>
        <v>1.3157908807610539</v>
      </c>
      <c r="K67">
        <f t="shared" si="14"/>
        <v>1.3157908807610539</v>
      </c>
      <c r="L67">
        <f t="shared" ca="1" si="30"/>
        <v>0.42841658146848849</v>
      </c>
      <c r="M67">
        <f t="shared" ca="1" si="15"/>
        <v>1.3770201280440386</v>
      </c>
      <c r="N67">
        <f t="shared" si="16"/>
        <v>1.2034737770540773</v>
      </c>
      <c r="O67">
        <f t="shared" ca="1" si="17"/>
        <v>0.30152178694137843</v>
      </c>
      <c r="P67">
        <f t="shared" ca="1" si="18"/>
        <v>57.634613796931397</v>
      </c>
      <c r="Q67">
        <f t="shared" ca="1" si="19"/>
        <v>79.022566059243672</v>
      </c>
      <c r="R67">
        <f ca="1">L67*E67*Q67</f>
        <v>115.50385302224713</v>
      </c>
      <c r="S67">
        <f t="shared" ca="1" si="21"/>
        <v>173.13846681917852</v>
      </c>
      <c r="T67">
        <f t="shared" ca="1" si="31"/>
        <v>43.802259644477488</v>
      </c>
      <c r="U67">
        <f t="shared" ca="1" si="32"/>
        <v>87.782834423840711</v>
      </c>
      <c r="V67">
        <f t="shared" ca="1" si="33"/>
        <v>131.5850940683182</v>
      </c>
      <c r="W67">
        <f t="shared" si="22"/>
        <v>0.25756372996086813</v>
      </c>
      <c r="X67">
        <f t="shared" ca="1" si="23"/>
        <v>0.42841658146848849</v>
      </c>
      <c r="Y67">
        <f t="shared" si="24"/>
        <v>0.82352941176470684</v>
      </c>
    </row>
    <row r="68" spans="1:25" x14ac:dyDescent="0.35">
      <c r="A68">
        <f t="shared" si="25"/>
        <v>0.84033613445378252</v>
      </c>
      <c r="B68">
        <f t="shared" si="10"/>
        <v>0.84033613445378252</v>
      </c>
      <c r="C68">
        <f t="shared" si="26"/>
        <v>3.8403361344537825</v>
      </c>
      <c r="D68">
        <f t="shared" si="11"/>
        <v>2.8740908127957105</v>
      </c>
      <c r="E68">
        <f t="shared" si="12"/>
        <v>3.4201680672268915</v>
      </c>
      <c r="F68">
        <f t="shared" si="27"/>
        <v>3.8455736005812877</v>
      </c>
      <c r="G68">
        <f t="shared" si="28"/>
        <v>0</v>
      </c>
      <c r="H68">
        <f t="shared" si="29"/>
        <v>1.3596155852614982</v>
      </c>
      <c r="I68">
        <f>IF(B68&gt;=$B$11,E68*($Q$14/$Q$13+2/3*SQRT(2*9.8)*(ABS(B68-$B$11))^(3/2)),0)</f>
        <v>0</v>
      </c>
      <c r="J68">
        <f>SUM(G68:I68)</f>
        <v>1.3596155852614982</v>
      </c>
      <c r="K68">
        <f t="shared" si="14"/>
        <v>1.3596155852614982</v>
      </c>
      <c r="L68">
        <f t="shared" ca="1" si="30"/>
        <v>0.43751172706943636</v>
      </c>
      <c r="M68">
        <f t="shared" ca="1" si="15"/>
        <v>1.4082434368699495</v>
      </c>
      <c r="N68">
        <f t="shared" si="16"/>
        <v>1.2570524996948886</v>
      </c>
      <c r="O68">
        <f t="shared" ca="1" si="17"/>
        <v>0.31504042313780645</v>
      </c>
      <c r="P68">
        <f ca="1">1/$B$4*(N68-O68-L68*(D68-M68))</f>
        <v>60.137331899120227</v>
      </c>
      <c r="Q68">
        <f ca="1">MAX((B68-L68)/$B$4,0)</f>
        <v>80.564881476869232</v>
      </c>
      <c r="R68">
        <f ca="1">L68*E68*Q68</f>
        <v>120.55435913855824</v>
      </c>
      <c r="S68">
        <f t="shared" ca="1" si="21"/>
        <v>180.69169103767848</v>
      </c>
      <c r="T68">
        <f t="shared" ca="1" si="31"/>
        <v>44.231128674178791</v>
      </c>
      <c r="U68">
        <f t="shared" ca="1" si="32"/>
        <v>88.667973834215587</v>
      </c>
      <c r="V68">
        <f t="shared" ca="1" si="33"/>
        <v>132.89910250839438</v>
      </c>
      <c r="W68">
        <f t="shared" si="22"/>
        <v>0.26614233809732102</v>
      </c>
      <c r="X68">
        <f t="shared" ca="1" si="23"/>
        <v>0.43751172706943636</v>
      </c>
      <c r="Y68">
        <f t="shared" si="24"/>
        <v>0.84033613445378252</v>
      </c>
    </row>
    <row r="69" spans="1:25" x14ac:dyDescent="0.35">
      <c r="A69">
        <f t="shared" si="25"/>
        <v>0.85714285714285821</v>
      </c>
      <c r="B69">
        <f t="shared" si="10"/>
        <v>0.85714285714285821</v>
      </c>
      <c r="C69">
        <f t="shared" si="26"/>
        <v>3.8571428571428581</v>
      </c>
      <c r="D69">
        <f t="shared" si="11"/>
        <v>2.9387755102040858</v>
      </c>
      <c r="E69">
        <f t="shared" si="12"/>
        <v>3.4285714285714293</v>
      </c>
      <c r="F69">
        <f t="shared" si="27"/>
        <v>3.9712491900274931</v>
      </c>
      <c r="G69">
        <f t="shared" si="28"/>
        <v>0</v>
      </c>
      <c r="H69">
        <f t="shared" si="29"/>
        <v>1.4040486160250123</v>
      </c>
      <c r="I69">
        <f t="shared" ref="I69:I116" si="34">IF(B69&gt;=$B$11,E69*($Q$14/$Q$13+2/3*SQRT(2*9.8)*(ABS(B69-$B$11))^(3/2)),0)</f>
        <v>0</v>
      </c>
      <c r="J69">
        <f t="shared" si="13"/>
        <v>1.4040486160250123</v>
      </c>
      <c r="K69">
        <f t="shared" si="14"/>
        <v>1.4040486160250123</v>
      </c>
      <c r="L69">
        <f t="shared" ca="1" si="30"/>
        <v>0.44653246008107889</v>
      </c>
      <c r="M69">
        <f t="shared" ca="1" si="15"/>
        <v>1.4392929991962669</v>
      </c>
      <c r="N69">
        <f t="shared" si="16"/>
        <v>1.3119533527696829</v>
      </c>
      <c r="O69">
        <f t="shared" ca="1" si="17"/>
        <v>0.32876507685269207</v>
      </c>
      <c r="P69">
        <f ca="1">1/$B$4*(N69-O69-L69*(D69-M69))</f>
        <v>62.724132285623213</v>
      </c>
      <c r="Q69">
        <f t="shared" ca="1" si="19"/>
        <v>82.122079412355859</v>
      </c>
      <c r="R69">
        <f t="shared" ca="1" si="20"/>
        <v>125.72631136105025</v>
      </c>
      <c r="S69">
        <f t="shared" ca="1" si="21"/>
        <v>188.45044364667348</v>
      </c>
      <c r="T69">
        <f t="shared" ca="1" si="31"/>
        <v>44.673760986425712</v>
      </c>
      <c r="U69">
        <f t="shared" ca="1" si="32"/>
        <v>89.545554139708301</v>
      </c>
      <c r="V69">
        <f t="shared" ca="1" si="33"/>
        <v>134.21931512613403</v>
      </c>
      <c r="W69">
        <f t="shared" si="22"/>
        <v>0.27484002502025917</v>
      </c>
      <c r="X69">
        <f t="shared" ca="1" si="23"/>
        <v>0.44653246008107889</v>
      </c>
      <c r="Y69">
        <f t="shared" si="24"/>
        <v>0.85714285714285821</v>
      </c>
    </row>
    <row r="70" spans="1:25" x14ac:dyDescent="0.35">
      <c r="A70">
        <f t="shared" si="25"/>
        <v>0.87394957983193389</v>
      </c>
      <c r="B70">
        <f t="shared" si="10"/>
        <v>0.87394957983193389</v>
      </c>
      <c r="C70">
        <f t="shared" si="26"/>
        <v>3.8739495798319341</v>
      </c>
      <c r="D70">
        <f t="shared" si="11"/>
        <v>3.0037426735400086</v>
      </c>
      <c r="E70">
        <f t="shared" si="12"/>
        <v>3.4369747899159671</v>
      </c>
      <c r="F70">
        <f t="shared" si="27"/>
        <v>4.0986424661550123</v>
      </c>
      <c r="G70">
        <f t="shared" si="28"/>
        <v>0</v>
      </c>
      <c r="H70">
        <f t="shared" si="29"/>
        <v>1.4490889407386818</v>
      </c>
      <c r="I70">
        <f t="shared" si="34"/>
        <v>0</v>
      </c>
      <c r="J70">
        <f t="shared" si="13"/>
        <v>1.4490889407386818</v>
      </c>
      <c r="K70">
        <f t="shared" si="14"/>
        <v>1.4490889407386818</v>
      </c>
      <c r="L70">
        <f t="shared" ca="1" si="30"/>
        <v>0.45563401419770111</v>
      </c>
      <c r="M70">
        <f t="shared" ca="1" si="15"/>
        <v>1.4707032200400587</v>
      </c>
      <c r="N70">
        <f t="shared" si="16"/>
        <v>1.3681858309314867</v>
      </c>
      <c r="O70">
        <f t="shared" ca="1" si="17"/>
        <v>0.34293376377993584</v>
      </c>
      <c r="P70">
        <f t="shared" ca="1" si="18"/>
        <v>65.349429405983742</v>
      </c>
      <c r="Q70">
        <f t="shared" ca="1" si="19"/>
        <v>83.663113126846554</v>
      </c>
      <c r="R70">
        <f t="shared" ca="1" si="20"/>
        <v>131.0166543728819</v>
      </c>
      <c r="S70">
        <f t="shared" ca="1" si="21"/>
        <v>196.36608377886563</v>
      </c>
      <c r="T70">
        <f t="shared" ca="1" si="31"/>
        <v>45.096907145445108</v>
      </c>
      <c r="U70">
        <f t="shared" ca="1" si="32"/>
        <v>90.413121437594697</v>
      </c>
      <c r="V70">
        <f t="shared" ca="1" si="33"/>
        <v>135.5100285830398</v>
      </c>
      <c r="W70">
        <f t="shared" si="22"/>
        <v>0.28365658865626153</v>
      </c>
      <c r="X70">
        <f t="shared" ca="1" si="23"/>
        <v>0.45563401419770111</v>
      </c>
      <c r="Y70">
        <f t="shared" si="24"/>
        <v>0.87394957983193389</v>
      </c>
    </row>
    <row r="71" spans="1:25" x14ac:dyDescent="0.35">
      <c r="A71">
        <f t="shared" si="25"/>
        <v>0.89075630252100957</v>
      </c>
      <c r="B71">
        <f t="shared" si="10"/>
        <v>0.89075630252100957</v>
      </c>
      <c r="C71">
        <f t="shared" si="26"/>
        <v>3.8907563025210097</v>
      </c>
      <c r="D71">
        <f t="shared" si="11"/>
        <v>3.0689923028034789</v>
      </c>
      <c r="E71">
        <f t="shared" si="12"/>
        <v>3.4453781512605048</v>
      </c>
      <c r="F71">
        <f t="shared" si="27"/>
        <v>4.2277507294167904</v>
      </c>
      <c r="G71">
        <f t="shared" si="28"/>
        <v>0</v>
      </c>
      <c r="H71">
        <f t="shared" si="29"/>
        <v>1.4947356049684926</v>
      </c>
      <c r="I71">
        <f t="shared" si="34"/>
        <v>0</v>
      </c>
      <c r="J71">
        <f t="shared" si="13"/>
        <v>1.4947356049684926</v>
      </c>
      <c r="K71">
        <f t="shared" si="14"/>
        <v>1.4947356049684926</v>
      </c>
      <c r="L71">
        <f t="shared" ca="1" si="30"/>
        <v>0.46469343894279264</v>
      </c>
      <c r="M71">
        <f t="shared" ca="1" si="15"/>
        <v>1.5020503129266174</v>
      </c>
      <c r="N71">
        <f t="shared" si="16"/>
        <v>1.4257594288333268</v>
      </c>
      <c r="O71">
        <f t="shared" ca="1" si="17"/>
        <v>0.35735862082107228</v>
      </c>
      <c r="P71">
        <f t="shared" ca="1" si="18"/>
        <v>68.050629222502621</v>
      </c>
      <c r="Q71">
        <f t="shared" ca="1" si="19"/>
        <v>85.21257271564339</v>
      </c>
      <c r="R71">
        <f t="shared" ca="1" si="20"/>
        <v>136.42913123631931</v>
      </c>
      <c r="S71">
        <f t="shared" ca="1" si="21"/>
        <v>204.47976045882194</v>
      </c>
      <c r="T71">
        <f t="shared" ca="1" si="31"/>
        <v>45.526867090275175</v>
      </c>
      <c r="U71">
        <f t="shared" ca="1" si="32"/>
        <v>91.273085877415156</v>
      </c>
      <c r="V71">
        <f t="shared" ca="1" si="33"/>
        <v>136.79995296769033</v>
      </c>
      <c r="W71">
        <f t="shared" si="22"/>
        <v>0.29259184217656348</v>
      </c>
      <c r="X71">
        <f t="shared" ca="1" si="23"/>
        <v>0.46469343894279264</v>
      </c>
      <c r="Y71">
        <f t="shared" si="24"/>
        <v>0.89075630252100957</v>
      </c>
    </row>
    <row r="72" spans="1:25" x14ac:dyDescent="0.35">
      <c r="A72">
        <f t="shared" si="25"/>
        <v>0.90756302521008525</v>
      </c>
      <c r="B72">
        <f t="shared" si="10"/>
        <v>0.90756302521008525</v>
      </c>
      <c r="C72">
        <f t="shared" si="26"/>
        <v>3.9075630252100853</v>
      </c>
      <c r="D72">
        <f t="shared" si="11"/>
        <v>3.1345243979944968</v>
      </c>
      <c r="E72">
        <f t="shared" si="12"/>
        <v>3.4537815126050426</v>
      </c>
      <c r="F72">
        <f t="shared" si="27"/>
        <v>4.3585714888121876</v>
      </c>
      <c r="G72">
        <f t="shared" si="28"/>
        <v>0</v>
      </c>
      <c r="H72">
        <f t="shared" si="29"/>
        <v>1.5409877280127222</v>
      </c>
      <c r="I72">
        <f t="shared" si="34"/>
        <v>0</v>
      </c>
      <c r="J72">
        <f t="shared" si="13"/>
        <v>1.5409877280127222</v>
      </c>
      <c r="K72">
        <f t="shared" si="14"/>
        <v>1.5409877280127222</v>
      </c>
      <c r="L72">
        <f t="shared" ca="1" si="30"/>
        <v>0.47380158859079785</v>
      </c>
      <c r="M72">
        <f t="shared" ca="1" si="15"/>
        <v>1.5336487384479756</v>
      </c>
      <c r="N72">
        <f t="shared" si="16"/>
        <v>1.48468364112823</v>
      </c>
      <c r="O72">
        <f t="shared" ca="1" si="17"/>
        <v>0.37218616640236735</v>
      </c>
      <c r="P72">
        <f t="shared" ca="1" si="18"/>
        <v>70.800008819275931</v>
      </c>
      <c r="Q72">
        <f t="shared" ca="1" si="19"/>
        <v>86.752287323857473</v>
      </c>
      <c r="R72">
        <f t="shared" ca="1" si="20"/>
        <v>141.96206475797334</v>
      </c>
      <c r="S72">
        <f t="shared" ca="1" si="21"/>
        <v>212.76207357724928</v>
      </c>
      <c r="T72">
        <f t="shared" ca="1" si="31"/>
        <v>45.94456369265221</v>
      </c>
      <c r="U72">
        <f t="shared" ca="1" si="32"/>
        <v>92.124072228043929</v>
      </c>
      <c r="V72">
        <f t="shared" ca="1" si="33"/>
        <v>138.06863592069615</v>
      </c>
      <c r="W72">
        <f t="shared" si="22"/>
        <v>0.3016456131853657</v>
      </c>
      <c r="X72">
        <f t="shared" ca="1" si="23"/>
        <v>0.47380158859079785</v>
      </c>
      <c r="Y72">
        <f t="shared" si="24"/>
        <v>0.90756302521008525</v>
      </c>
    </row>
    <row r="73" spans="1:25" x14ac:dyDescent="0.35">
      <c r="A73">
        <f t="shared" si="25"/>
        <v>0.92436974789916093</v>
      </c>
      <c r="B73">
        <f t="shared" si="10"/>
        <v>0.92436974789916093</v>
      </c>
      <c r="C73">
        <f t="shared" si="26"/>
        <v>3.9243697478991608</v>
      </c>
      <c r="D73">
        <f t="shared" si="11"/>
        <v>3.2003389591130622</v>
      </c>
      <c r="E73">
        <f t="shared" si="12"/>
        <v>3.4621848739495809</v>
      </c>
      <c r="F73">
        <f t="shared" si="27"/>
        <v>4.4911024509584658</v>
      </c>
      <c r="G73">
        <f t="shared" si="28"/>
        <v>0</v>
      </c>
      <c r="H73">
        <f t="shared" si="29"/>
        <v>1.5878444990381277</v>
      </c>
      <c r="I73">
        <f t="shared" si="34"/>
        <v>0</v>
      </c>
      <c r="J73">
        <f t="shared" si="13"/>
        <v>1.5878444990381277</v>
      </c>
      <c r="K73">
        <f t="shared" si="14"/>
        <v>1.5878444990381277</v>
      </c>
      <c r="L73">
        <f t="shared" ca="1" si="30"/>
        <v>0.48289892842749743</v>
      </c>
      <c r="M73">
        <f t="shared" ca="1" si="15"/>
        <v>1.5652924728207049</v>
      </c>
      <c r="N73">
        <f t="shared" si="16"/>
        <v>1.5449679624692236</v>
      </c>
      <c r="O73">
        <f t="shared" ca="1" si="17"/>
        <v>0.38732301766228472</v>
      </c>
      <c r="P73">
        <f t="shared" ca="1" si="18"/>
        <v>73.616549729442909</v>
      </c>
      <c r="Q73">
        <f t="shared" ca="1" si="19"/>
        <v>88.294163894332698</v>
      </c>
      <c r="R73">
        <f t="shared" ca="1" si="20"/>
        <v>147.61772048707348</v>
      </c>
      <c r="S73">
        <f t="shared" ca="1" si="21"/>
        <v>221.23427021651639</v>
      </c>
      <c r="T73">
        <f t="shared" ca="1" si="31"/>
        <v>46.362568736446029</v>
      </c>
      <c r="U73">
        <f t="shared" ca="1" si="32"/>
        <v>92.967365870207203</v>
      </c>
      <c r="V73">
        <f t="shared" ca="1" si="33"/>
        <v>139.32993460665324</v>
      </c>
      <c r="W73">
        <f t="shared" si="22"/>
        <v>0.31081774296349984</v>
      </c>
      <c r="X73">
        <f t="shared" ca="1" si="23"/>
        <v>0.48289892842749743</v>
      </c>
      <c r="Y73">
        <f t="shared" si="24"/>
        <v>0.92436974789916093</v>
      </c>
    </row>
    <row r="74" spans="1:25" x14ac:dyDescent="0.35">
      <c r="A74">
        <f t="shared" si="25"/>
        <v>0.94117647058823661</v>
      </c>
      <c r="B74">
        <f t="shared" si="10"/>
        <v>0.94117647058823661</v>
      </c>
      <c r="C74">
        <f t="shared" si="26"/>
        <v>3.9411764705882364</v>
      </c>
      <c r="D74">
        <f t="shared" si="11"/>
        <v>3.2664359861591752</v>
      </c>
      <c r="E74">
        <f t="shared" si="12"/>
        <v>3.4705882352941186</v>
      </c>
      <c r="F74">
        <f t="shared" si="27"/>
        <v>4.6253415098947368</v>
      </c>
      <c r="G74">
        <f t="shared" si="28"/>
        <v>0</v>
      </c>
      <c r="H74">
        <f t="shared" si="29"/>
        <v>1.6353051734750965</v>
      </c>
      <c r="I74">
        <f t="shared" si="34"/>
        <v>0</v>
      </c>
      <c r="J74">
        <f t="shared" si="13"/>
        <v>1.6353051734750965</v>
      </c>
      <c r="K74">
        <f t="shared" si="14"/>
        <v>1.6353051734750965</v>
      </c>
      <c r="L74">
        <f t="shared" ca="1" si="30"/>
        <v>0.49201381823521823</v>
      </c>
      <c r="M74">
        <f t="shared" ca="1" si="15"/>
        <v>1.5970802533728539</v>
      </c>
      <c r="N74">
        <f t="shared" si="16"/>
        <v>1.6066218875093339</v>
      </c>
      <c r="O74">
        <f t="shared" ca="1" si="17"/>
        <v>0.40281823699283253</v>
      </c>
      <c r="P74">
        <f t="shared" ca="1" si="18"/>
        <v>76.491512487090546</v>
      </c>
      <c r="Q74">
        <f t="shared" ca="1" si="19"/>
        <v>89.832530470603672</v>
      </c>
      <c r="R74">
        <f t="shared" ca="1" si="20"/>
        <v>153.39599604681325</v>
      </c>
      <c r="S74">
        <f t="shared" ca="1" si="21"/>
        <v>229.8875085339038</v>
      </c>
      <c r="T74">
        <f t="shared" ca="1" si="31"/>
        <v>46.775069098902598</v>
      </c>
      <c r="U74">
        <f t="shared" ca="1" si="32"/>
        <v>93.802672757917051</v>
      </c>
      <c r="V74">
        <f t="shared" ca="1" si="33"/>
        <v>140.57774185681964</v>
      </c>
      <c r="W74">
        <f t="shared" si="22"/>
        <v>0.32010808576278543</v>
      </c>
      <c r="X74">
        <f t="shared" ca="1" si="23"/>
        <v>0.49201381823521823</v>
      </c>
      <c r="Y74">
        <f t="shared" si="24"/>
        <v>0.94117647058823661</v>
      </c>
    </row>
    <row r="75" spans="1:25" x14ac:dyDescent="0.35">
      <c r="A75">
        <f t="shared" si="25"/>
        <v>0.95798319327731229</v>
      </c>
      <c r="B75">
        <f t="shared" si="10"/>
        <v>0.95798319327731229</v>
      </c>
      <c r="C75">
        <f t="shared" si="26"/>
        <v>3.9579831932773124</v>
      </c>
      <c r="D75">
        <f t="shared" si="11"/>
        <v>3.3328154791328348</v>
      </c>
      <c r="E75">
        <f t="shared" si="12"/>
        <v>3.478991596638656</v>
      </c>
      <c r="F75">
        <f t="shared" si="27"/>
        <v>4.7612867375577288</v>
      </c>
      <c r="G75">
        <f t="shared" si="28"/>
        <v>0</v>
      </c>
      <c r="H75">
        <f t="shared" si="29"/>
        <v>1.6833690696503218</v>
      </c>
      <c r="I75">
        <f t="shared" si="34"/>
        <v>0</v>
      </c>
      <c r="J75">
        <f t="shared" si="13"/>
        <v>1.6833690696503218</v>
      </c>
      <c r="K75">
        <f t="shared" si="14"/>
        <v>1.6833690696503218</v>
      </c>
      <c r="L75">
        <f t="shared" ca="1" si="30"/>
        <v>0.50114835295401894</v>
      </c>
      <c r="M75">
        <f t="shared" ca="1" si="15"/>
        <v>1.6290198946963197</v>
      </c>
      <c r="N75">
        <f t="shared" si="16"/>
        <v>1.6696549109015879</v>
      </c>
      <c r="O75">
        <f t="shared" ca="1" si="17"/>
        <v>0.41867892226999698</v>
      </c>
      <c r="P75">
        <f t="shared" ca="1" si="18"/>
        <v>79.424327544180272</v>
      </c>
      <c r="Q75">
        <f t="shared" ca="1" si="19"/>
        <v>91.366968064658664</v>
      </c>
      <c r="R75">
        <f t="shared" ca="1" si="20"/>
        <v>159.29747816674407</v>
      </c>
      <c r="S75">
        <f t="shared" ca="1" si="21"/>
        <v>238.72180571092434</v>
      </c>
      <c r="T75">
        <f t="shared" ca="1" si="31"/>
        <v>47.181767193024825</v>
      </c>
      <c r="U75">
        <f t="shared" ca="1" si="32"/>
        <v>94.630156297117992</v>
      </c>
      <c r="V75">
        <f t="shared" ca="1" si="33"/>
        <v>141.81192349014282</v>
      </c>
      <c r="W75">
        <f t="shared" si="22"/>
        <v>0.32951650814688238</v>
      </c>
      <c r="X75">
        <f t="shared" ca="1" si="23"/>
        <v>0.50114835295401894</v>
      </c>
      <c r="Y75">
        <f t="shared" si="24"/>
        <v>0.95798319327731229</v>
      </c>
    </row>
    <row r="76" spans="1:25" x14ac:dyDescent="0.35">
      <c r="A76">
        <f t="shared" si="25"/>
        <v>0.97478991596638798</v>
      </c>
      <c r="B76">
        <f t="shared" si="10"/>
        <v>0.97478991596638798</v>
      </c>
      <c r="C76">
        <f t="shared" si="26"/>
        <v>3.974789915966388</v>
      </c>
      <c r="D76">
        <f t="shared" si="11"/>
        <v>3.3994774380340429</v>
      </c>
      <c r="E76">
        <f t="shared" si="12"/>
        <v>3.4873949579831942</v>
      </c>
      <c r="F76">
        <f t="shared" si="27"/>
        <v>4.8989363748746717</v>
      </c>
      <c r="G76">
        <f t="shared" si="28"/>
        <v>0</v>
      </c>
      <c r="H76">
        <f t="shared" si="29"/>
        <v>1.7320355656376616</v>
      </c>
      <c r="I76">
        <f t="shared" si="34"/>
        <v>0</v>
      </c>
      <c r="J76">
        <f t="shared" si="13"/>
        <v>1.7320355656376616</v>
      </c>
      <c r="K76">
        <f t="shared" si="14"/>
        <v>1.7320355656376616</v>
      </c>
      <c r="L76">
        <f t="shared" ca="1" si="30"/>
        <v>0.51027009126827672</v>
      </c>
      <c r="M76">
        <f t="shared" ca="1" si="15"/>
        <v>1.6609980568262979</v>
      </c>
      <c r="N76">
        <f t="shared" si="16"/>
        <v>1.734076527299012</v>
      </c>
      <c r="O76">
        <f t="shared" ca="1" si="17"/>
        <v>0.43485063701398913</v>
      </c>
      <c r="P76">
        <f t="shared" ca="1" si="18"/>
        <v>82.426371553625913</v>
      </c>
      <c r="Q76">
        <f t="shared" ca="1" si="19"/>
        <v>92.903964939622256</v>
      </c>
      <c r="R76">
        <f t="shared" ca="1" si="20"/>
        <v>165.32384527398509</v>
      </c>
      <c r="S76">
        <f t="shared" ca="1" si="21"/>
        <v>247.75021682761098</v>
      </c>
      <c r="T76">
        <f t="shared" ca="1" si="31"/>
        <v>47.589306587523822</v>
      </c>
      <c r="U76">
        <f t="shared" ca="1" si="32"/>
        <v>95.450606531350232</v>
      </c>
      <c r="V76">
        <f t="shared" ca="1" si="33"/>
        <v>143.03991311887404</v>
      </c>
      <c r="W76">
        <f t="shared" si="22"/>
        <v>0.33904288837485203</v>
      </c>
      <c r="X76">
        <f t="shared" ca="1" si="23"/>
        <v>0.51027009126827672</v>
      </c>
      <c r="Y76">
        <f t="shared" si="24"/>
        <v>0.97478991596638798</v>
      </c>
    </row>
    <row r="77" spans="1:25" x14ac:dyDescent="0.35">
      <c r="A77">
        <f t="shared" si="25"/>
        <v>0.99159663865546366</v>
      </c>
      <c r="B77">
        <f t="shared" si="10"/>
        <v>0.99159663865546366</v>
      </c>
      <c r="C77">
        <f t="shared" si="26"/>
        <v>3.9915966386554635</v>
      </c>
      <c r="D77">
        <f t="shared" si="11"/>
        <v>3.4664218628627981</v>
      </c>
      <c r="E77">
        <f t="shared" si="12"/>
        <v>3.495798319327732</v>
      </c>
      <c r="F77">
        <f t="shared" si="27"/>
        <v>5.038288823423926</v>
      </c>
      <c r="G77">
        <f t="shared" si="28"/>
        <v>0</v>
      </c>
      <c r="H77">
        <f t="shared" si="29"/>
        <v>1.7813040963097251</v>
      </c>
      <c r="I77">
        <f t="shared" si="34"/>
        <v>0</v>
      </c>
      <c r="J77">
        <f t="shared" si="13"/>
        <v>1.7813040963097251</v>
      </c>
      <c r="K77">
        <f t="shared" si="14"/>
        <v>1.7813040963097251</v>
      </c>
      <c r="L77">
        <f t="shared" ca="1" si="30"/>
        <v>0.51944114998193469</v>
      </c>
      <c r="M77">
        <f t="shared" ca="1" si="15"/>
        <v>1.6932330040930814</v>
      </c>
      <c r="N77">
        <f t="shared" si="16"/>
        <v>1.7998962313546338</v>
      </c>
      <c r="O77">
        <f t="shared" ca="1" si="17"/>
        <v>0.45144704507504002</v>
      </c>
      <c r="P77">
        <f t="shared" ca="1" si="18"/>
        <v>85.476385269019545</v>
      </c>
      <c r="Q77">
        <f t="shared" ca="1" si="19"/>
        <v>94.431097734705787</v>
      </c>
      <c r="R77">
        <f t="shared" ca="1" si="20"/>
        <v>171.47379469387207</v>
      </c>
      <c r="S77">
        <f t="shared" ca="1" si="21"/>
        <v>256.95017996289164</v>
      </c>
      <c r="T77">
        <f t="shared" ca="1" si="31"/>
        <v>47.985285300863808</v>
      </c>
      <c r="U77">
        <f t="shared" ca="1" si="32"/>
        <v>96.263066507908022</v>
      </c>
      <c r="V77">
        <f t="shared" ca="1" si="33"/>
        <v>144.24835180877184</v>
      </c>
      <c r="W77">
        <f t="shared" si="22"/>
        <v>0.34868711582401041</v>
      </c>
      <c r="X77">
        <f t="shared" ca="1" si="23"/>
        <v>0.51944114998193469</v>
      </c>
      <c r="Y77">
        <f t="shared" si="24"/>
        <v>0.99159663865546366</v>
      </c>
    </row>
    <row r="78" spans="1:25" x14ac:dyDescent="0.35">
      <c r="A78">
        <f t="shared" si="25"/>
        <v>1.0084033613445393</v>
      </c>
      <c r="B78">
        <f t="shared" si="10"/>
        <v>1.0084033613445393</v>
      </c>
      <c r="C78">
        <f t="shared" si="26"/>
        <v>4.0336134453781574</v>
      </c>
      <c r="D78">
        <f t="shared" si="11"/>
        <v>3.5337546783419311</v>
      </c>
      <c r="E78">
        <f t="shared" si="12"/>
        <v>3.5043067226890763</v>
      </c>
      <c r="F78">
        <f t="shared" si="27"/>
        <v>5.1794978936929468</v>
      </c>
      <c r="G78">
        <f t="shared" si="28"/>
        <v>0</v>
      </c>
      <c r="H78">
        <f t="shared" si="29"/>
        <v>1.8312290418858614</v>
      </c>
      <c r="I78">
        <f>IF(B78&gt;=$B$11,E78*($Q$14/$Q$13+2/3*SQRT(2*9.8)*(ABS(B78-$B$11))^(3/2)),0)</f>
        <v>0</v>
      </c>
      <c r="J78">
        <f t="shared" si="13"/>
        <v>1.8312290418858614</v>
      </c>
      <c r="K78">
        <f t="shared" si="14"/>
        <v>1.8312290418858614</v>
      </c>
      <c r="L78">
        <f t="shared" ca="1" si="30"/>
        <v>0.52857982729017283</v>
      </c>
      <c r="M78">
        <f t="shared" ca="1" si="15"/>
        <v>1.7254377987795728</v>
      </c>
      <c r="N78">
        <f t="shared" si="16"/>
        <v>1.8672300358601239</v>
      </c>
      <c r="O78">
        <f t="shared" ca="1" si="17"/>
        <v>0.46832275887684061</v>
      </c>
      <c r="P78">
        <f t="shared" ca="1" si="18"/>
        <v>88.613490619661547</v>
      </c>
      <c r="Q78">
        <f t="shared" ca="1" si="19"/>
        <v>95.964706810873295</v>
      </c>
      <c r="R78">
        <f t="shared" ca="1" si="20"/>
        <v>177.75598707566417</v>
      </c>
      <c r="S78">
        <f t="shared" ca="1" si="21"/>
        <v>266.36947769532571</v>
      </c>
      <c r="T78">
        <f t="shared" ca="1" si="31"/>
        <v>48.390173262217587</v>
      </c>
      <c r="U78">
        <f t="shared" ca="1" si="32"/>
        <v>97.069226737800676</v>
      </c>
      <c r="V78">
        <f t="shared" ca="1" si="33"/>
        <v>145.45940000001826</v>
      </c>
      <c r="W78">
        <f t="shared" si="22"/>
        <v>0.3584598353257944</v>
      </c>
      <c r="X78">
        <f t="shared" ca="1" si="23"/>
        <v>0.52857982729017283</v>
      </c>
      <c r="Y78">
        <f t="shared" si="24"/>
        <v>1.0084033613445393</v>
      </c>
    </row>
    <row r="79" spans="1:25" x14ac:dyDescent="0.35">
      <c r="A79">
        <f t="shared" si="25"/>
        <v>1.0252100840336149</v>
      </c>
      <c r="B79">
        <f t="shared" si="10"/>
        <v>1.0252100840336149</v>
      </c>
      <c r="C79">
        <f t="shared" si="26"/>
        <v>4.1008403361344596</v>
      </c>
      <c r="D79">
        <f t="shared" si="11"/>
        <v>3.6021114328084236</v>
      </c>
      <c r="E79">
        <f t="shared" si="12"/>
        <v>3.5135349221655887</v>
      </c>
      <c r="F79">
        <f t="shared" si="27"/>
        <v>5.3235054181298143</v>
      </c>
      <c r="G79">
        <f t="shared" si="28"/>
        <v>0</v>
      </c>
      <c r="H79">
        <f t="shared" si="29"/>
        <v>1.8821433904214595</v>
      </c>
      <c r="I79">
        <f t="shared" si="34"/>
        <v>0</v>
      </c>
      <c r="J79">
        <f t="shared" si="13"/>
        <v>1.8821433904214595</v>
      </c>
      <c r="K79">
        <f t="shared" si="14"/>
        <v>1.8821433904214595</v>
      </c>
      <c r="L79">
        <f t="shared" ca="1" si="30"/>
        <v>0.53786661291208337</v>
      </c>
      <c r="M79">
        <f t="shared" ca="1" si="15"/>
        <v>1.7582500853790084</v>
      </c>
      <c r="N79">
        <f t="shared" si="16"/>
        <v>1.9367372257850313</v>
      </c>
      <c r="O79">
        <f t="shared" ca="1" si="17"/>
        <v>0.48581909874070067</v>
      </c>
      <c r="P79">
        <f t="shared" ca="1" si="18"/>
        <v>91.833333884592165</v>
      </c>
      <c r="Q79">
        <f t="shared" ca="1" si="19"/>
        <v>97.468694224306304</v>
      </c>
      <c r="R79">
        <f t="shared" ca="1" si="20"/>
        <v>184.19761790763266</v>
      </c>
      <c r="S79">
        <f t="shared" ca="1" si="21"/>
        <v>276.03095179222481</v>
      </c>
      <c r="T79">
        <f t="shared" ca="1" si="31"/>
        <v>48.791890326713286</v>
      </c>
      <c r="U79">
        <f t="shared" ca="1" si="32"/>
        <v>97.865879318783541</v>
      </c>
      <c r="V79">
        <f t="shared" ca="1" si="33"/>
        <v>146.65776964549684</v>
      </c>
      <c r="W79">
        <f t="shared" si="22"/>
        <v>0.36842622870113934</v>
      </c>
      <c r="X79">
        <f t="shared" ca="1" si="23"/>
        <v>0.53786661291208337</v>
      </c>
      <c r="Y79">
        <f t="shared" si="24"/>
        <v>1.0252100840336149</v>
      </c>
    </row>
    <row r="80" spans="1:25" x14ac:dyDescent="0.35">
      <c r="A80">
        <f t="shared" si="25"/>
        <v>1.0420168067226905</v>
      </c>
      <c r="B80">
        <f t="shared" si="10"/>
        <v>1.0420168067226905</v>
      </c>
      <c r="C80">
        <f t="shared" si="26"/>
        <v>4.1680672268907619</v>
      </c>
      <c r="D80">
        <f t="shared" si="11"/>
        <v>3.6715980509851058</v>
      </c>
      <c r="E80">
        <f t="shared" si="12"/>
        <v>3.5235497424776372</v>
      </c>
      <c r="F80">
        <f t="shared" si="27"/>
        <v>5.4704948628207513</v>
      </c>
      <c r="G80">
        <f t="shared" si="28"/>
        <v>0</v>
      </c>
      <c r="H80">
        <f t="shared" si="29"/>
        <v>1.9341120069733626</v>
      </c>
      <c r="I80">
        <f t="shared" si="34"/>
        <v>0</v>
      </c>
      <c r="J80">
        <f t="shared" si="13"/>
        <v>1.9341120069733626</v>
      </c>
      <c r="K80">
        <f t="shared" si="14"/>
        <v>1.9341120069733626</v>
      </c>
      <c r="L80">
        <f t="shared" ca="1" si="30"/>
        <v>0.54716191836074179</v>
      </c>
      <c r="M80">
        <f t="shared" ca="1" si="15"/>
        <v>1.7911788375343289</v>
      </c>
      <c r="N80">
        <f t="shared" si="16"/>
        <v>2.0085611110484791</v>
      </c>
      <c r="O80">
        <f t="shared" ca="1" si="17"/>
        <v>0.50368348346286096</v>
      </c>
      <c r="P80">
        <f t="shared" ca="1" si="18"/>
        <v>95.196768686298753</v>
      </c>
      <c r="Q80">
        <f t="shared" ca="1" si="19"/>
        <v>98.970977672389736</v>
      </c>
      <c r="R80">
        <f t="shared" ca="1" si="20"/>
        <v>190.811317755397</v>
      </c>
      <c r="S80">
        <f t="shared" ca="1" si="21"/>
        <v>286.00808644169575</v>
      </c>
      <c r="T80">
        <f t="shared" ca="1" si="31"/>
        <v>49.219884031054384</v>
      </c>
      <c r="U80">
        <f t="shared" ca="1" si="32"/>
        <v>98.655774364377308</v>
      </c>
      <c r="V80">
        <f t="shared" ca="1" si="33"/>
        <v>147.87565839543169</v>
      </c>
      <c r="W80">
        <f t="shared" si="22"/>
        <v>0.3785989931698156</v>
      </c>
      <c r="X80">
        <f t="shared" ca="1" si="23"/>
        <v>0.54716191836074179</v>
      </c>
      <c r="Y80">
        <f t="shared" si="24"/>
        <v>1.0420168067226905</v>
      </c>
    </row>
    <row r="81" spans="1:25" x14ac:dyDescent="0.35">
      <c r="A81">
        <f t="shared" si="25"/>
        <v>1.0588235294117661</v>
      </c>
      <c r="B81">
        <f t="shared" si="10"/>
        <v>1.0588235294117661</v>
      </c>
      <c r="C81">
        <f t="shared" si="26"/>
        <v>4.2352941176470642</v>
      </c>
      <c r="D81">
        <f t="shared" si="11"/>
        <v>3.7422145328719782</v>
      </c>
      <c r="E81">
        <f t="shared" si="12"/>
        <v>3.5343137254901973</v>
      </c>
      <c r="F81">
        <f t="shared" si="27"/>
        <v>5.6204953764194379</v>
      </c>
      <c r="G81">
        <f t="shared" si="28"/>
        <v>0</v>
      </c>
      <c r="H81">
        <f t="shared" si="29"/>
        <v>1.9871451971469107</v>
      </c>
      <c r="I81">
        <f t="shared" si="34"/>
        <v>0</v>
      </c>
      <c r="J81">
        <f t="shared" si="13"/>
        <v>1.9871451971469107</v>
      </c>
      <c r="K81">
        <f t="shared" si="14"/>
        <v>1.9871451971469107</v>
      </c>
      <c r="L81">
        <f t="shared" ca="1" si="30"/>
        <v>0.5566091165831426</v>
      </c>
      <c r="M81">
        <f t="shared" ca="1" si="15"/>
        <v>1.8247342040811609</v>
      </c>
      <c r="N81">
        <f t="shared" si="16"/>
        <v>2.0827396702625744</v>
      </c>
      <c r="O81">
        <f t="shared" ca="1" si="17"/>
        <v>0.52220227455670598</v>
      </c>
      <c r="P81">
        <f t="shared" ca="1" si="18"/>
        <v>98.650072766411597</v>
      </c>
      <c r="Q81">
        <f t="shared" ca="1" si="19"/>
        <v>100.44288256572469</v>
      </c>
      <c r="R81">
        <f t="shared" ca="1" si="20"/>
        <v>197.59437646643178</v>
      </c>
      <c r="S81">
        <f t="shared" ca="1" si="21"/>
        <v>296.24444923284341</v>
      </c>
      <c r="T81">
        <f t="shared" ca="1" si="31"/>
        <v>49.644119064903109</v>
      </c>
      <c r="U81">
        <f t="shared" ca="1" si="32"/>
        <v>99.436305283646334</v>
      </c>
      <c r="V81">
        <f t="shared" ca="1" si="33"/>
        <v>149.08042434854946</v>
      </c>
      <c r="W81">
        <f t="shared" si="22"/>
        <v>0.38898014603578052</v>
      </c>
      <c r="X81">
        <f t="shared" ca="1" si="23"/>
        <v>0.5566091165831426</v>
      </c>
      <c r="Y81">
        <f t="shared" si="24"/>
        <v>1.0588235294117661</v>
      </c>
    </row>
    <row r="82" spans="1:25" x14ac:dyDescent="0.35">
      <c r="A82">
        <f t="shared" si="25"/>
        <v>1.0756302521008416</v>
      </c>
      <c r="B82">
        <f t="shared" si="10"/>
        <v>1.0756302521008416</v>
      </c>
      <c r="C82">
        <f t="shared" ref="C82:C113" si="35">2*MIN(B82,$B$5)/$Q$5+$B$6+(B82&gt;$B$5)*(2*(B82-$B$5)/$Q$6)</f>
        <v>4.3025210084033665</v>
      </c>
      <c r="D82">
        <f t="shared" si="11"/>
        <v>3.8139608784690404</v>
      </c>
      <c r="E82">
        <f t="shared" si="12"/>
        <v>3.5457917542016819</v>
      </c>
      <c r="F82">
        <f t="shared" ref="F82:F113" si="36">E82*($Q$3*$B$4*B82^3/$I$11)^(1/2)</f>
        <v>5.7735357603680315</v>
      </c>
      <c r="G82">
        <f t="shared" ref="G82:G113" si="37">IF(B82&lt;$B$10,F82,0)</f>
        <v>0</v>
      </c>
      <c r="H82">
        <f t="shared" ref="H82:H113" si="38">IF(AND(B82&gt;=$B$10,B82&lt;$B$11),E82*((2*$Q$3*(B82-$B$10)^(3)/(3*SQRT(3)*$Q$4))^(1/2)+(2/3*$Q$3*$B$10^2*B82/(1+(2/3*$I$11/$B$4-1)*$B$10/B82))^(1/2)),0)</f>
        <v>2.0412531437896324</v>
      </c>
      <c r="I82">
        <f t="shared" si="34"/>
        <v>0</v>
      </c>
      <c r="J82">
        <f t="shared" si="13"/>
        <v>2.0412531437896324</v>
      </c>
      <c r="K82">
        <f t="shared" si="14"/>
        <v>2.0412531437896324</v>
      </c>
      <c r="L82">
        <f t="shared" ref="L82:L113" ca="1" si="39">FORECAST(K82,OFFSET($B$18:$B$136,MATCH(K82,$F$18:$F$136,1)-1,0,2),OFFSET($F$18:$F$136,MATCH(K82,$F$18:$F$136,1)-1,0,2))</f>
        <v>0.56610304181272131</v>
      </c>
      <c r="M82">
        <f t="shared" ca="1" si="15"/>
        <v>1.8585454524129719</v>
      </c>
      <c r="N82">
        <f t="shared" si="16"/>
        <v>2.159310882039426</v>
      </c>
      <c r="O82">
        <f t="shared" ca="1" si="17"/>
        <v>0.54118249566398124</v>
      </c>
      <c r="P82">
        <f t="shared" ca="1" si="18"/>
        <v>102.2323531355172</v>
      </c>
      <c r="Q82">
        <f t="shared" ca="1" si="19"/>
        <v>101.90544205762406</v>
      </c>
      <c r="R82">
        <f t="shared" ca="1" si="20"/>
        <v>204.55311216687323</v>
      </c>
      <c r="S82">
        <f t="shared" ca="1" si="21"/>
        <v>306.78546530239043</v>
      </c>
      <c r="T82">
        <f t="shared" ref="T82:T113" ca="1" si="40">IFERROR(P82/$K82,0)</f>
        <v>50.083133219685109</v>
      </c>
      <c r="U82">
        <f t="shared" ref="U82:U113" ca="1" si="41">IFERROR(R82/$K82,0)</f>
        <v>100.20957605832061</v>
      </c>
      <c r="V82">
        <f t="shared" ref="V82:V113" ca="1" si="42">IFERROR(S82/$K82,0)</f>
        <v>150.29270927800573</v>
      </c>
      <c r="W82">
        <f t="shared" si="22"/>
        <v>0.39957168057336778</v>
      </c>
      <c r="X82">
        <f t="shared" ca="1" si="23"/>
        <v>0.56610304181272131</v>
      </c>
      <c r="Y82">
        <f t="shared" si="24"/>
        <v>1.0756302521008416</v>
      </c>
    </row>
    <row r="83" spans="1:25" x14ac:dyDescent="0.35">
      <c r="A83">
        <f t="shared" si="25"/>
        <v>1.0924369747899172</v>
      </c>
      <c r="B83">
        <f t="shared" ref="B83:B137" si="43">A83*$B$5</f>
        <v>1.0924369747899172</v>
      </c>
      <c r="C83">
        <f t="shared" si="35"/>
        <v>4.3697478991596688</v>
      </c>
      <c r="D83">
        <f t="shared" ref="D83:D117" si="44">MIN(B83,$B$5)^2/$Q$5+$B$6*MIN(B83,$B$5)+(B83&gt;$B$5)*((B83-$B$5)^2/$Q$6+$B$7*(B83-$B$5))</f>
        <v>3.8868370877762923</v>
      </c>
      <c r="E83">
        <f t="shared" ref="E83:E117" si="45">IFERROR(D83/B83,$B$6)</f>
        <v>3.5579508726567557</v>
      </c>
      <c r="F83">
        <f t="shared" si="36"/>
        <v>5.9296444814979719</v>
      </c>
      <c r="G83">
        <f t="shared" si="37"/>
        <v>0</v>
      </c>
      <c r="H83">
        <f t="shared" si="38"/>
        <v>2.096445911446303</v>
      </c>
      <c r="I83">
        <f t="shared" si="34"/>
        <v>0</v>
      </c>
      <c r="J83">
        <f t="shared" ref="J83:J117" si="46">SUM(G83:I83)</f>
        <v>2.096445911446303</v>
      </c>
      <c r="K83">
        <f t="shared" ref="K83:K117" si="47">MIN(J83,F83)</f>
        <v>2.096445911446303</v>
      </c>
      <c r="L83">
        <f t="shared" ca="1" si="39"/>
        <v>0.57570640617513025</v>
      </c>
      <c r="M83">
        <f t="shared" ref="M83:M137" ca="1" si="48">MIN(L83,$B$5)^2/$Q$5+$B$6*MIN(L83,$B$5)+(L83&gt;$B$5)*((L83-$B$5)^2/$Q$6+$B$7*(L83-$B$5))</f>
        <v>1.8928381515809327</v>
      </c>
      <c r="N83">
        <f t="shared" ref="N83:N136" si="49">2*MIN(B83,$B$5)^3/(3*$Q$5)+$B$6*MIN(B83,$B$5)^2/2+(B83&gt;$B$5)*(2*B83^3/(3*$Q$6)-B83^2*$B$5/$Q$6+$B$7*B83^2/2-(2*$B$5^3/(3*$Q$6)-$B$5^2*$B$5/$Q$6+$B$7*$B$5^2/2))</f>
        <v>2.2383127249911396</v>
      </c>
      <c r="O83">
        <f t="shared" ref="O83:O136" ca="1" si="50">2*MIN(L83,$B$5)^3/(3*$Q$5)+$B$6*MIN(L83,$B$5)^2/2+(L83&gt;$B$5)*(2*L83^3/(3*$Q$6)-L83^2*$B$5/$Q$6+$B$7*L83^2/2-(2*$B$5^3/(3*$Q$6)-$B$5^2*$B$5/$Q$6+$B$7*$B$5^2/2))</f>
        <v>0.56076043342301485</v>
      </c>
      <c r="P83">
        <f t="shared" ref="P83:P135" ca="1" si="51">1/$B$4*(N83-O83-L83*(D83-M83))</f>
        <v>105.91886601881227</v>
      </c>
      <c r="Q83">
        <f t="shared" ref="Q83:Q136" ca="1" si="52">MAX((B83-L83)/$B$4,0)</f>
        <v>103.34611372295738</v>
      </c>
      <c r="R83">
        <f t="shared" ref="R83:R137" ca="1" si="53">L83*E83*Q83</f>
        <v>211.68747324609478</v>
      </c>
      <c r="S83">
        <f t="shared" ref="S83:S136" ca="1" si="54">SUM(P83,R83)</f>
        <v>317.60633926490704</v>
      </c>
      <c r="T83">
        <f t="shared" ca="1" si="40"/>
        <v>50.523061644714986</v>
      </c>
      <c r="U83">
        <f t="shared" ca="1" si="41"/>
        <v>100.97445018271668</v>
      </c>
      <c r="V83">
        <f t="shared" ca="1" si="42"/>
        <v>151.49751182743165</v>
      </c>
      <c r="W83">
        <f t="shared" ref="W83:W136" si="55">K83/$Q$8</f>
        <v>0.41037556689935695</v>
      </c>
      <c r="X83">
        <f t="shared" ref="X83:X136" ca="1" si="56">L83/$B$5</f>
        <v>0.57570640617513025</v>
      </c>
      <c r="Y83">
        <f t="shared" ref="Y83:Y137" si="57">A83</f>
        <v>1.0924369747899172</v>
      </c>
    </row>
    <row r="84" spans="1:25" x14ac:dyDescent="0.35">
      <c r="A84">
        <f t="shared" ref="A84:A137" si="58">A83+(2/(137-18))</f>
        <v>1.1092436974789928</v>
      </c>
      <c r="B84">
        <f t="shared" si="43"/>
        <v>1.1092436974789928</v>
      </c>
      <c r="C84">
        <f t="shared" si="35"/>
        <v>4.4369747899159711</v>
      </c>
      <c r="D84">
        <f t="shared" si="44"/>
        <v>3.9608431607937344</v>
      </c>
      <c r="E84">
        <f t="shared" si="45"/>
        <v>3.5707601222307113</v>
      </c>
      <c r="F84">
        <f t="shared" si="36"/>
        <v>6.0888496839080082</v>
      </c>
      <c r="G84">
        <f t="shared" si="37"/>
        <v>0</v>
      </c>
      <c r="H84">
        <f t="shared" si="38"/>
        <v>2.1527334505584599</v>
      </c>
      <c r="I84">
        <f t="shared" si="34"/>
        <v>0</v>
      </c>
      <c r="J84">
        <f t="shared" si="46"/>
        <v>2.1527334505584599</v>
      </c>
      <c r="K84">
        <f t="shared" si="47"/>
        <v>2.1527334505584599</v>
      </c>
      <c r="L84">
        <f t="shared" ca="1" si="39"/>
        <v>0.58539944460159288</v>
      </c>
      <c r="M84">
        <f t="shared" ca="1" si="48"/>
        <v>1.9275445886747054</v>
      </c>
      <c r="N84">
        <f t="shared" si="49"/>
        <v>2.3197831777298221</v>
      </c>
      <c r="O84">
        <f t="shared" ca="1" si="50"/>
        <v>0.58090943290005892</v>
      </c>
      <c r="P84">
        <f t="shared" ca="1" si="51"/>
        <v>109.71637800041437</v>
      </c>
      <c r="Q84">
        <f t="shared" ca="1" si="52"/>
        <v>104.76885057547997</v>
      </c>
      <c r="R84">
        <f t="shared" ca="1" si="53"/>
        <v>219.0005277032883</v>
      </c>
      <c r="S84">
        <f t="shared" ca="1" si="54"/>
        <v>328.71690570370265</v>
      </c>
      <c r="T84">
        <f t="shared" ca="1" si="40"/>
        <v>50.966076627810963</v>
      </c>
      <c r="U84">
        <f t="shared" ca="1" si="41"/>
        <v>101.73137210576414</v>
      </c>
      <c r="V84">
        <f t="shared" ca="1" si="42"/>
        <v>152.6974487335751</v>
      </c>
      <c r="W84">
        <f t="shared" si="55"/>
        <v>0.42139375279502145</v>
      </c>
      <c r="X84">
        <f t="shared" ca="1" si="56"/>
        <v>0.58539944460159288</v>
      </c>
      <c r="Y84">
        <f t="shared" si="57"/>
        <v>1.1092436974789928</v>
      </c>
    </row>
    <row r="85" spans="1:25" x14ac:dyDescent="0.35">
      <c r="A85">
        <f t="shared" si="58"/>
        <v>1.1260504201680683</v>
      </c>
      <c r="B85">
        <f t="shared" si="43"/>
        <v>1.1260504201680683</v>
      </c>
      <c r="C85">
        <f t="shared" si="35"/>
        <v>4.5042016806722733</v>
      </c>
      <c r="D85">
        <f t="shared" si="44"/>
        <v>4.0359790975213663</v>
      </c>
      <c r="E85">
        <f t="shared" si="45"/>
        <v>3.584190392574941</v>
      </c>
      <c r="F85">
        <f t="shared" si="36"/>
        <v>6.2511792001738664</v>
      </c>
      <c r="G85">
        <f t="shared" si="37"/>
        <v>0</v>
      </c>
      <c r="H85">
        <f t="shared" si="38"/>
        <v>2.2101256014276198</v>
      </c>
      <c r="I85">
        <f t="shared" si="34"/>
        <v>0</v>
      </c>
      <c r="J85">
        <f t="shared" si="46"/>
        <v>2.2101256014276198</v>
      </c>
      <c r="K85">
        <f t="shared" si="47"/>
        <v>2.2101256014276198</v>
      </c>
      <c r="L85">
        <f t="shared" ca="1" si="39"/>
        <v>0.59515490977730467</v>
      </c>
      <c r="M85">
        <f t="shared" ca="1" si="48"/>
        <v>1.9625694126479301</v>
      </c>
      <c r="N85">
        <f t="shared" si="49"/>
        <v>2.403760218867582</v>
      </c>
      <c r="O85">
        <f t="shared" ca="1" si="50"/>
        <v>0.60158386449476853</v>
      </c>
      <c r="P85">
        <f t="shared" ca="1" si="51"/>
        <v>113.63528008811481</v>
      </c>
      <c r="Q85">
        <f t="shared" ca="1" si="52"/>
        <v>106.17910207815272</v>
      </c>
      <c r="R85">
        <f t="shared" ca="1" si="53"/>
        <v>226.49579336116668</v>
      </c>
      <c r="S85">
        <f t="shared" ca="1" si="54"/>
        <v>340.13107344928147</v>
      </c>
      <c r="T85">
        <f t="shared" ca="1" si="40"/>
        <v>51.415756649627809</v>
      </c>
      <c r="U85">
        <f t="shared" ca="1" si="41"/>
        <v>102.48096000284455</v>
      </c>
      <c r="V85">
        <f t="shared" ca="1" si="42"/>
        <v>153.89671665247235</v>
      </c>
      <c r="W85">
        <f t="shared" si="55"/>
        <v>0.43262816448192087</v>
      </c>
      <c r="X85">
        <f t="shared" ca="1" si="56"/>
        <v>0.59515490977730467</v>
      </c>
      <c r="Y85">
        <f t="shared" si="57"/>
        <v>1.1260504201680683</v>
      </c>
    </row>
    <row r="86" spans="1:25" x14ac:dyDescent="0.35">
      <c r="A86">
        <f t="shared" si="58"/>
        <v>1.1428571428571439</v>
      </c>
      <c r="B86">
        <f t="shared" si="43"/>
        <v>1.1428571428571439</v>
      </c>
      <c r="C86">
        <f t="shared" si="35"/>
        <v>4.5714285714285756</v>
      </c>
      <c r="D86">
        <f t="shared" si="44"/>
        <v>4.1122448979591884</v>
      </c>
      <c r="E86">
        <f t="shared" si="45"/>
        <v>3.5982142857142865</v>
      </c>
      <c r="F86">
        <f t="shared" si="36"/>
        <v>6.4166605619390724</v>
      </c>
      <c r="G86">
        <f t="shared" si="37"/>
        <v>0</v>
      </c>
      <c r="H86">
        <f t="shared" si="38"/>
        <v>2.2686320979597006</v>
      </c>
      <c r="I86">
        <f t="shared" si="34"/>
        <v>0</v>
      </c>
      <c r="J86">
        <f t="shared" si="46"/>
        <v>2.2686320979597006</v>
      </c>
      <c r="K86">
        <f t="shared" si="47"/>
        <v>2.2686320979597006</v>
      </c>
      <c r="L86">
        <f t="shared" ca="1" si="39"/>
        <v>0.60504727337750441</v>
      </c>
      <c r="M86">
        <f t="shared" ca="1" si="48"/>
        <v>1.9981829216432894</v>
      </c>
      <c r="N86">
        <f t="shared" si="49"/>
        <v>2.4902818270165259</v>
      </c>
      <c r="O86">
        <f t="shared" ca="1" si="50"/>
        <v>0.62295565078906912</v>
      </c>
      <c r="P86">
        <f t="shared" ca="1" si="51"/>
        <v>117.64374834129279</v>
      </c>
      <c r="Q86">
        <f t="shared" ca="1" si="52"/>
        <v>107.56197389592789</v>
      </c>
      <c r="R86">
        <f t="shared" ca="1" si="53"/>
        <v>234.1720700625705</v>
      </c>
      <c r="S86">
        <f t="shared" ca="1" si="54"/>
        <v>351.81581840386332</v>
      </c>
      <c r="T86">
        <f t="shared" ca="1" si="40"/>
        <v>51.856688639421073</v>
      </c>
      <c r="U86">
        <f t="shared" ca="1" si="41"/>
        <v>103.2217036306476</v>
      </c>
      <c r="V86">
        <f t="shared" ca="1" si="42"/>
        <v>155.07839227006869</v>
      </c>
      <c r="W86">
        <f t="shared" si="55"/>
        <v>0.44408070735486532</v>
      </c>
      <c r="X86">
        <f t="shared" ca="1" si="56"/>
        <v>0.60504727337750441</v>
      </c>
      <c r="Y86">
        <f t="shared" si="57"/>
        <v>1.1428571428571439</v>
      </c>
    </row>
    <row r="87" spans="1:25" x14ac:dyDescent="0.35">
      <c r="A87">
        <f t="shared" si="58"/>
        <v>1.1596638655462195</v>
      </c>
      <c r="B87">
        <f t="shared" si="43"/>
        <v>1.1596638655462195</v>
      </c>
      <c r="C87">
        <f t="shared" si="35"/>
        <v>4.6386554621848779</v>
      </c>
      <c r="D87">
        <f t="shared" si="44"/>
        <v>4.1896405621072006</v>
      </c>
      <c r="E87">
        <f t="shared" si="45"/>
        <v>3.612805991962003</v>
      </c>
      <c r="F87">
        <f t="shared" si="36"/>
        <v>6.5853210099319339</v>
      </c>
      <c r="G87">
        <f t="shared" si="37"/>
        <v>0</v>
      </c>
      <c r="H87">
        <f t="shared" si="38"/>
        <v>2.3282625712065572</v>
      </c>
      <c r="I87">
        <f t="shared" si="34"/>
        <v>0</v>
      </c>
      <c r="J87">
        <f t="shared" si="46"/>
        <v>2.3282625712065572</v>
      </c>
      <c r="K87">
        <f t="shared" si="47"/>
        <v>2.3282625712065572</v>
      </c>
      <c r="L87">
        <f t="shared" ca="1" si="39"/>
        <v>0.6149510359826853</v>
      </c>
      <c r="M87">
        <f t="shared" ca="1" si="48"/>
        <v>2.0339354962761447</v>
      </c>
      <c r="N87">
        <f t="shared" si="49"/>
        <v>2.579385980788762</v>
      </c>
      <c r="O87">
        <f t="shared" ca="1" si="50"/>
        <v>0.64476477204322602</v>
      </c>
      <c r="P87">
        <f t="shared" ca="1" si="51"/>
        <v>121.79362904792103</v>
      </c>
      <c r="Q87">
        <f t="shared" ca="1" si="52"/>
        <v>108.94256591270683</v>
      </c>
      <c r="R87">
        <f t="shared" ca="1" si="53"/>
        <v>242.03756660209811</v>
      </c>
      <c r="S87">
        <f t="shared" ca="1" si="54"/>
        <v>363.83119565001914</v>
      </c>
      <c r="T87">
        <f t="shared" ca="1" si="40"/>
        <v>52.310950901386036</v>
      </c>
      <c r="U87">
        <f t="shared" ca="1" si="41"/>
        <v>103.95630183440559</v>
      </c>
      <c r="V87">
        <f t="shared" ca="1" si="42"/>
        <v>156.26725273579163</v>
      </c>
      <c r="W87">
        <f t="shared" si="55"/>
        <v>0.45575326667516458</v>
      </c>
      <c r="X87">
        <f t="shared" ca="1" si="56"/>
        <v>0.6149510359826853</v>
      </c>
      <c r="Y87">
        <f t="shared" si="57"/>
        <v>1.1596638655462195</v>
      </c>
    </row>
    <row r="88" spans="1:25" x14ac:dyDescent="0.35">
      <c r="A88">
        <f t="shared" si="58"/>
        <v>1.176470588235295</v>
      </c>
      <c r="B88">
        <f t="shared" si="43"/>
        <v>1.176470588235295</v>
      </c>
      <c r="C88">
        <f t="shared" si="35"/>
        <v>4.7058823529411802</v>
      </c>
      <c r="D88">
        <f t="shared" si="44"/>
        <v>4.2681660899654021</v>
      </c>
      <c r="E88">
        <f t="shared" si="45"/>
        <v>3.6279411764705891</v>
      </c>
      <c r="F88">
        <f t="shared" si="36"/>
        <v>6.7571875034497442</v>
      </c>
      <c r="G88">
        <f t="shared" si="37"/>
        <v>0</v>
      </c>
      <c r="H88">
        <f t="shared" si="38"/>
        <v>2.3890265527191556</v>
      </c>
      <c r="I88">
        <f t="shared" si="34"/>
        <v>0</v>
      </c>
      <c r="J88">
        <f t="shared" si="46"/>
        <v>2.3890265527191556</v>
      </c>
      <c r="K88">
        <f t="shared" si="47"/>
        <v>2.3890265527191556</v>
      </c>
      <c r="L88">
        <f t="shared" ca="1" si="39"/>
        <v>0.62498765780535137</v>
      </c>
      <c r="M88">
        <f t="shared" ca="1" si="48"/>
        <v>2.0702677596205636</v>
      </c>
      <c r="N88">
        <f t="shared" si="49"/>
        <v>2.6711106587963953</v>
      </c>
      <c r="O88">
        <f t="shared" ca="1" si="50"/>
        <v>0.66728974587228262</v>
      </c>
      <c r="P88">
        <f t="shared" ca="1" si="51"/>
        <v>126.03231666951986</v>
      </c>
      <c r="Q88">
        <f t="shared" ca="1" si="52"/>
        <v>110.29658608598874</v>
      </c>
      <c r="R88">
        <f t="shared" ca="1" si="53"/>
        <v>250.08851520509023</v>
      </c>
      <c r="S88">
        <f t="shared" ca="1" si="54"/>
        <v>376.12083187461008</v>
      </c>
      <c r="T88">
        <f t="shared" ca="1" si="40"/>
        <v>52.754673875881238</v>
      </c>
      <c r="U88">
        <f t="shared" ca="1" si="41"/>
        <v>104.68218317642518</v>
      </c>
      <c r="V88">
        <f t="shared" ca="1" si="42"/>
        <v>157.43685705230641</v>
      </c>
      <c r="W88">
        <f t="shared" si="55"/>
        <v>0.4676477082270058</v>
      </c>
      <c r="X88">
        <f t="shared" ca="1" si="56"/>
        <v>0.62498765780535137</v>
      </c>
      <c r="Y88">
        <f t="shared" si="57"/>
        <v>1.176470588235295</v>
      </c>
    </row>
    <row r="89" spans="1:25" x14ac:dyDescent="0.35">
      <c r="A89">
        <f t="shared" si="58"/>
        <v>1.1932773109243706</v>
      </c>
      <c r="B89">
        <f t="shared" si="43"/>
        <v>1.1932773109243706</v>
      </c>
      <c r="C89">
        <f t="shared" si="35"/>
        <v>4.7731092436974825</v>
      </c>
      <c r="D89">
        <f t="shared" si="44"/>
        <v>4.3478214815337939</v>
      </c>
      <c r="E89">
        <f t="shared" si="45"/>
        <v>3.6435968753698669</v>
      </c>
      <c r="F89">
        <f t="shared" si="36"/>
        <v>6.9322867293476866</v>
      </c>
      <c r="G89">
        <f t="shared" si="37"/>
        <v>0</v>
      </c>
      <c r="H89">
        <f t="shared" si="38"/>
        <v>2.4509334777256311</v>
      </c>
      <c r="I89">
        <f t="shared" si="34"/>
        <v>0</v>
      </c>
      <c r="J89">
        <f t="shared" si="46"/>
        <v>2.4509334777256311</v>
      </c>
      <c r="K89">
        <f t="shared" si="47"/>
        <v>2.4509334777256311</v>
      </c>
      <c r="L89">
        <f t="shared" ca="1" si="39"/>
        <v>0.63509118457989611</v>
      </c>
      <c r="M89">
        <f t="shared" ca="1" si="48"/>
        <v>2.106943960105236</v>
      </c>
      <c r="N89">
        <f t="shared" si="49"/>
        <v>2.7654938396515356</v>
      </c>
      <c r="O89">
        <f t="shared" ca="1" si="50"/>
        <v>0.69039728394557998</v>
      </c>
      <c r="P89">
        <f t="shared" ca="1" si="51"/>
        <v>130.38699922468626</v>
      </c>
      <c r="Q89">
        <f t="shared" ca="1" si="52"/>
        <v>111.63722526889489</v>
      </c>
      <c r="R89">
        <f t="shared" ca="1" si="53"/>
        <v>258.33035401461063</v>
      </c>
      <c r="S89">
        <f t="shared" ca="1" si="54"/>
        <v>388.71735323929693</v>
      </c>
      <c r="T89">
        <f t="shared" ca="1" si="40"/>
        <v>53.198913968762717</v>
      </c>
      <c r="U89">
        <f t="shared" ca="1" si="41"/>
        <v>105.40080192397998</v>
      </c>
      <c r="V89">
        <f t="shared" ca="1" si="42"/>
        <v>158.59971589274269</v>
      </c>
      <c r="W89">
        <f t="shared" si="55"/>
        <v>0.47976587893955325</v>
      </c>
      <c r="X89">
        <f t="shared" ca="1" si="56"/>
        <v>0.63509118457989611</v>
      </c>
      <c r="Y89">
        <f t="shared" si="57"/>
        <v>1.1932773109243706</v>
      </c>
    </row>
    <row r="90" spans="1:25" x14ac:dyDescent="0.35">
      <c r="A90">
        <f t="shared" si="58"/>
        <v>1.2100840336134462</v>
      </c>
      <c r="B90">
        <f t="shared" si="43"/>
        <v>1.2100840336134462</v>
      </c>
      <c r="C90">
        <f t="shared" si="35"/>
        <v>4.8403361344537847</v>
      </c>
      <c r="D90">
        <f t="shared" si="44"/>
        <v>4.4286067368123758</v>
      </c>
      <c r="E90">
        <f t="shared" si="45"/>
        <v>3.659751400560225</v>
      </c>
      <c r="F90">
        <f t="shared" si="36"/>
        <v>7.1106451105667148</v>
      </c>
      <c r="G90">
        <f t="shared" si="37"/>
        <v>0</v>
      </c>
      <c r="H90">
        <f t="shared" si="38"/>
        <v>0</v>
      </c>
      <c r="I90">
        <f t="shared" si="34"/>
        <v>2.493571386420995</v>
      </c>
      <c r="J90">
        <f t="shared" si="46"/>
        <v>2.493571386420995</v>
      </c>
      <c r="K90">
        <f t="shared" si="47"/>
        <v>2.493571386420995</v>
      </c>
      <c r="L90">
        <f t="shared" ca="1" si="39"/>
        <v>0.64199227763287081</v>
      </c>
      <c r="M90">
        <f t="shared" ca="1" si="48"/>
        <v>2.132053875168733</v>
      </c>
      <c r="N90">
        <f t="shared" si="49"/>
        <v>2.8625735019662879</v>
      </c>
      <c r="O90">
        <f t="shared" ca="1" si="50"/>
        <v>0.70643103996692158</v>
      </c>
      <c r="P90">
        <f t="shared" ca="1" si="51"/>
        <v>136.35465192969539</v>
      </c>
      <c r="Q90">
        <f t="shared" ca="1" si="52"/>
        <v>113.61835119611507</v>
      </c>
      <c r="R90">
        <f t="shared" ca="1" si="53"/>
        <v>266.94996751273766</v>
      </c>
      <c r="S90">
        <f t="shared" ca="1" si="54"/>
        <v>403.30461944243302</v>
      </c>
      <c r="T90">
        <f t="shared" ca="1" si="40"/>
        <v>54.682473769240765</v>
      </c>
      <c r="U90">
        <f t="shared" ca="1" si="41"/>
        <v>107.05527379983656</v>
      </c>
      <c r="V90">
        <f t="shared" ca="1" si="42"/>
        <v>161.7377475690773</v>
      </c>
      <c r="W90">
        <f t="shared" si="55"/>
        <v>0.48811217390320039</v>
      </c>
      <c r="X90">
        <f t="shared" ca="1" si="56"/>
        <v>0.64199227763287081</v>
      </c>
      <c r="Y90">
        <f t="shared" si="57"/>
        <v>1.2100840336134462</v>
      </c>
    </row>
    <row r="91" spans="1:25" x14ac:dyDescent="0.35">
      <c r="A91">
        <f t="shared" si="58"/>
        <v>1.2268907563025218</v>
      </c>
      <c r="B91">
        <f t="shared" si="43"/>
        <v>1.2268907563025218</v>
      </c>
      <c r="C91">
        <f t="shared" si="35"/>
        <v>4.907563025210087</v>
      </c>
      <c r="D91">
        <f t="shared" si="44"/>
        <v>4.510521855801148</v>
      </c>
      <c r="E91">
        <f t="shared" si="45"/>
        <v>3.6763842523310704</v>
      </c>
      <c r="F91">
        <f t="shared" si="36"/>
        <v>7.2922888142317657</v>
      </c>
      <c r="G91">
        <f t="shared" si="37"/>
        <v>0</v>
      </c>
      <c r="H91">
        <f t="shared" si="38"/>
        <v>0</v>
      </c>
      <c r="I91">
        <f t="shared" si="34"/>
        <v>2.5417642453450333</v>
      </c>
      <c r="J91">
        <f t="shared" si="46"/>
        <v>2.5417642453450333</v>
      </c>
      <c r="K91">
        <f t="shared" si="47"/>
        <v>2.5417642453450333</v>
      </c>
      <c r="L91">
        <f t="shared" ca="1" si="39"/>
        <v>0.64972405943920752</v>
      </c>
      <c r="M91">
        <f t="shared" ca="1" si="48"/>
        <v>2.1602428550247041</v>
      </c>
      <c r="N91">
        <f t="shared" si="49"/>
        <v>2.9623876243527607</v>
      </c>
      <c r="O91">
        <f t="shared" ca="1" si="50"/>
        <v>0.72463716138704792</v>
      </c>
      <c r="P91">
        <f t="shared" ca="1" si="51"/>
        <v>142.1435299533035</v>
      </c>
      <c r="Q91">
        <f t="shared" ca="1" si="52"/>
        <v>115.43333937266284</v>
      </c>
      <c r="R91">
        <f t="shared" ca="1" si="53"/>
        <v>275.72814927816728</v>
      </c>
      <c r="S91">
        <f t="shared" ca="1" si="54"/>
        <v>417.87167923147081</v>
      </c>
      <c r="T91">
        <f t="shared" ca="1" si="40"/>
        <v>55.923176279477538</v>
      </c>
      <c r="U91">
        <f t="shared" ca="1" si="41"/>
        <v>108.47904158819355</v>
      </c>
      <c r="V91">
        <f t="shared" ca="1" si="42"/>
        <v>164.40221786767111</v>
      </c>
      <c r="W91">
        <f t="shared" si="55"/>
        <v>0.49754584051652551</v>
      </c>
      <c r="X91">
        <f t="shared" ca="1" si="56"/>
        <v>0.64972405943920752</v>
      </c>
      <c r="Y91">
        <f t="shared" si="57"/>
        <v>1.2268907563025218</v>
      </c>
    </row>
    <row r="92" spans="1:25" x14ac:dyDescent="0.35">
      <c r="A92">
        <f t="shared" si="58"/>
        <v>1.2436974789915973</v>
      </c>
      <c r="B92">
        <f t="shared" si="43"/>
        <v>1.2436974789915973</v>
      </c>
      <c r="C92">
        <f t="shared" si="35"/>
        <v>4.9747899159663893</v>
      </c>
      <c r="D92">
        <f t="shared" si="44"/>
        <v>4.5935668385001094</v>
      </c>
      <c r="E92">
        <f t="shared" si="45"/>
        <v>3.6934760390642749</v>
      </c>
      <c r="F92">
        <f t="shared" si="36"/>
        <v>7.4772437593491086</v>
      </c>
      <c r="G92">
        <f t="shared" si="37"/>
        <v>0</v>
      </c>
      <c r="H92">
        <f t="shared" si="38"/>
        <v>0</v>
      </c>
      <c r="I92">
        <f t="shared" si="34"/>
        <v>2.6050872747011282</v>
      </c>
      <c r="J92">
        <f t="shared" si="46"/>
        <v>2.6050872747011282</v>
      </c>
      <c r="K92">
        <f t="shared" si="47"/>
        <v>2.6050872747011282</v>
      </c>
      <c r="L92">
        <f t="shared" ca="1" si="39"/>
        <v>0.65980971100208508</v>
      </c>
      <c r="M92">
        <f t="shared" ca="1" si="48"/>
        <v>2.1971035603725828</v>
      </c>
      <c r="N92">
        <f t="shared" si="49"/>
        <v>3.0649741854230612</v>
      </c>
      <c r="O92">
        <f t="shared" ca="1" si="50"/>
        <v>0.74877241610772982</v>
      </c>
      <c r="P92">
        <f t="shared" ca="1" si="51"/>
        <v>146.99840526937976</v>
      </c>
      <c r="Q92">
        <f t="shared" ca="1" si="52"/>
        <v>116.77755359790245</v>
      </c>
      <c r="R92">
        <f t="shared" ca="1" si="53"/>
        <v>284.58588891807671</v>
      </c>
      <c r="S92">
        <f t="shared" ca="1" si="54"/>
        <v>431.58429418745646</v>
      </c>
      <c r="T92">
        <f t="shared" ca="1" si="40"/>
        <v>56.42743976254858</v>
      </c>
      <c r="U92">
        <f t="shared" ca="1" si="41"/>
        <v>109.24236269616962</v>
      </c>
      <c r="V92">
        <f t="shared" ca="1" si="42"/>
        <v>165.66980245871821</v>
      </c>
      <c r="W92">
        <f t="shared" si="55"/>
        <v>0.50994121114255075</v>
      </c>
      <c r="X92">
        <f t="shared" ca="1" si="56"/>
        <v>0.65980971100208508</v>
      </c>
      <c r="Y92">
        <f t="shared" si="57"/>
        <v>1.2436974789915973</v>
      </c>
    </row>
    <row r="93" spans="1:25" x14ac:dyDescent="0.35">
      <c r="A93">
        <f t="shared" si="58"/>
        <v>1.2605042016806729</v>
      </c>
      <c r="B93">
        <f t="shared" si="43"/>
        <v>1.2605042016806729</v>
      </c>
      <c r="C93">
        <f t="shared" si="35"/>
        <v>5.0420168067226916</v>
      </c>
      <c r="D93">
        <f t="shared" si="44"/>
        <v>4.677741684909261</v>
      </c>
      <c r="E93">
        <f t="shared" si="45"/>
        <v>3.7110084033613453</v>
      </c>
      <c r="F93">
        <f t="shared" si="36"/>
        <v>7.6655356241292401</v>
      </c>
      <c r="G93">
        <f t="shared" si="37"/>
        <v>0</v>
      </c>
      <c r="H93">
        <f t="shared" si="38"/>
        <v>0</v>
      </c>
      <c r="I93">
        <f t="shared" si="34"/>
        <v>2.6804113871838018</v>
      </c>
      <c r="J93">
        <f t="shared" si="46"/>
        <v>2.6804113871838018</v>
      </c>
      <c r="K93">
        <f t="shared" si="47"/>
        <v>2.6804113871838018</v>
      </c>
      <c r="L93">
        <f t="shared" ca="1" si="39"/>
        <v>0.67169329432384672</v>
      </c>
      <c r="M93">
        <f t="shared" ca="1" si="48"/>
        <v>2.2406658237913515</v>
      </c>
      <c r="N93">
        <f t="shared" si="49"/>
        <v>3.1703711637892962</v>
      </c>
      <c r="O93">
        <f t="shared" ca="1" si="50"/>
        <v>0.77777419828770145</v>
      </c>
      <c r="P93">
        <f t="shared" ca="1" si="51"/>
        <v>151.12589036603615</v>
      </c>
      <c r="Q93">
        <f t="shared" ca="1" si="52"/>
        <v>117.76218147136524</v>
      </c>
      <c r="R93">
        <f t="shared" ca="1" si="53"/>
        <v>293.54101564153927</v>
      </c>
      <c r="S93">
        <f t="shared" ca="1" si="54"/>
        <v>444.66690600757545</v>
      </c>
      <c r="T93">
        <f t="shared" ca="1" si="40"/>
        <v>56.381602872094163</v>
      </c>
      <c r="U93">
        <f t="shared" ca="1" si="41"/>
        <v>109.51341911360508</v>
      </c>
      <c r="V93">
        <f t="shared" ca="1" si="42"/>
        <v>165.89502198569926</v>
      </c>
      <c r="W93">
        <f t="shared" si="55"/>
        <v>0.52468577249397763</v>
      </c>
      <c r="X93">
        <f t="shared" ca="1" si="56"/>
        <v>0.67169329432384672</v>
      </c>
      <c r="Y93">
        <f t="shared" si="57"/>
        <v>1.2605042016806729</v>
      </c>
    </row>
    <row r="94" spans="1:25" x14ac:dyDescent="0.35">
      <c r="A94">
        <f t="shared" si="58"/>
        <v>1.2773109243697485</v>
      </c>
      <c r="B94">
        <f t="shared" si="43"/>
        <v>1.2773109243697485</v>
      </c>
      <c r="C94">
        <f t="shared" si="35"/>
        <v>5.1092436974789939</v>
      </c>
      <c r="D94">
        <f t="shared" si="44"/>
        <v>4.7630463950286028</v>
      </c>
      <c r="E94">
        <f t="shared" si="45"/>
        <v>3.7289639540026545</v>
      </c>
      <c r="F94">
        <f t="shared" si="36"/>
        <v>7.8571898529595998</v>
      </c>
      <c r="G94">
        <f t="shared" si="37"/>
        <v>0</v>
      </c>
      <c r="H94">
        <f t="shared" si="38"/>
        <v>0</v>
      </c>
      <c r="I94">
        <f t="shared" si="34"/>
        <v>2.766168935026573</v>
      </c>
      <c r="J94">
        <f t="shared" si="46"/>
        <v>2.766168935026573</v>
      </c>
      <c r="K94">
        <f t="shared" si="47"/>
        <v>2.766168935026573</v>
      </c>
      <c r="L94">
        <f t="shared" ca="1" si="39"/>
        <v>0.68501176258735563</v>
      </c>
      <c r="M94">
        <f t="shared" ca="1" si="48"/>
        <v>2.2896558452035847</v>
      </c>
      <c r="N94">
        <f t="shared" si="49"/>
        <v>3.2786165380635732</v>
      </c>
      <c r="O94">
        <f t="shared" ca="1" si="50"/>
        <v>0.81100690005271481</v>
      </c>
      <c r="P94">
        <f t="shared" ca="1" si="51"/>
        <v>154.6616035816628</v>
      </c>
      <c r="Q94">
        <f t="shared" ca="1" si="52"/>
        <v>118.45983235647857</v>
      </c>
      <c r="R94">
        <f t="shared" ca="1" si="53"/>
        <v>302.59192064180695</v>
      </c>
      <c r="S94">
        <f t="shared" ca="1" si="54"/>
        <v>457.25352422346975</v>
      </c>
      <c r="T94">
        <f t="shared" ca="1" si="40"/>
        <v>55.911843135559273</v>
      </c>
      <c r="U94">
        <f t="shared" ca="1" si="41"/>
        <v>109.39025336097201</v>
      </c>
      <c r="V94">
        <f t="shared" ca="1" si="42"/>
        <v>165.30209649653128</v>
      </c>
      <c r="W94">
        <f t="shared" si="55"/>
        <v>0.54147266030240049</v>
      </c>
      <c r="X94">
        <f t="shared" ca="1" si="56"/>
        <v>0.68501176258735563</v>
      </c>
      <c r="Y94">
        <f t="shared" si="57"/>
        <v>1.2773109243697485</v>
      </c>
    </row>
    <row r="95" spans="1:25" x14ac:dyDescent="0.35">
      <c r="A95">
        <f t="shared" si="58"/>
        <v>1.294117647058824</v>
      </c>
      <c r="B95">
        <f t="shared" si="43"/>
        <v>1.294117647058824</v>
      </c>
      <c r="C95">
        <f t="shared" si="35"/>
        <v>5.1764705882352962</v>
      </c>
      <c r="D95">
        <f t="shared" si="44"/>
        <v>4.849480968858134</v>
      </c>
      <c r="E95">
        <f t="shared" si="45"/>
        <v>3.7473262032085564</v>
      </c>
      <c r="F95">
        <f t="shared" si="36"/>
        <v>8.0522316630494934</v>
      </c>
      <c r="G95">
        <f t="shared" si="37"/>
        <v>0</v>
      </c>
      <c r="H95">
        <f t="shared" si="38"/>
        <v>0</v>
      </c>
      <c r="I95">
        <f t="shared" si="34"/>
        <v>2.8613891782957297</v>
      </c>
      <c r="J95">
        <f t="shared" si="46"/>
        <v>2.8613891782957297</v>
      </c>
      <c r="K95">
        <f t="shared" si="47"/>
        <v>2.8613891782957297</v>
      </c>
      <c r="L95">
        <f t="shared" ca="1" si="39"/>
        <v>0.6996181421821146</v>
      </c>
      <c r="M95">
        <f t="shared" ca="1" si="48"/>
        <v>2.3435871989815205</v>
      </c>
      <c r="N95">
        <f t="shared" si="49"/>
        <v>3.3897482868579991</v>
      </c>
      <c r="O95">
        <f t="shared" ca="1" si="50"/>
        <v>0.8483446423603147</v>
      </c>
      <c r="P95">
        <f t="shared" ca="1" si="51"/>
        <v>157.64698014217453</v>
      </c>
      <c r="Q95">
        <f t="shared" ca="1" si="52"/>
        <v>118.89990097534188</v>
      </c>
      <c r="R95">
        <f t="shared" ca="1" si="53"/>
        <v>311.71956082392387</v>
      </c>
      <c r="S95">
        <f t="shared" ca="1" si="54"/>
        <v>469.3665409660984</v>
      </c>
      <c r="T95">
        <f t="shared" ca="1" si="40"/>
        <v>55.094560830089726</v>
      </c>
      <c r="U95">
        <f t="shared" ca="1" si="41"/>
        <v>108.93993840068514</v>
      </c>
      <c r="V95">
        <f t="shared" ca="1" si="42"/>
        <v>164.03449923077486</v>
      </c>
      <c r="W95">
        <f t="shared" si="55"/>
        <v>0.56011185394843022</v>
      </c>
      <c r="X95">
        <f t="shared" ca="1" si="56"/>
        <v>0.6996181421821146</v>
      </c>
      <c r="Y95">
        <f t="shared" si="57"/>
        <v>1.294117647058824</v>
      </c>
    </row>
    <row r="96" spans="1:25" x14ac:dyDescent="0.35">
      <c r="A96">
        <f t="shared" si="58"/>
        <v>1.3109243697478996</v>
      </c>
      <c r="B96">
        <f t="shared" si="43"/>
        <v>1.3109243697478996</v>
      </c>
      <c r="C96">
        <f t="shared" si="35"/>
        <v>5.2436974789915984</v>
      </c>
      <c r="D96">
        <f t="shared" si="44"/>
        <v>4.9370454063978553</v>
      </c>
      <c r="E96">
        <f t="shared" si="45"/>
        <v>3.7660795087265679</v>
      </c>
      <c r="F96">
        <f t="shared" si="36"/>
        <v>8.250686050767829</v>
      </c>
      <c r="G96">
        <f t="shared" si="37"/>
        <v>0</v>
      </c>
      <c r="H96">
        <f t="shared" si="38"/>
        <v>0</v>
      </c>
      <c r="I96">
        <f t="shared" si="34"/>
        <v>2.9654073690065328</v>
      </c>
      <c r="J96">
        <f t="shared" si="46"/>
        <v>2.9654073690065328</v>
      </c>
      <c r="K96">
        <f t="shared" si="47"/>
        <v>2.9654073690065328</v>
      </c>
      <c r="L96">
        <f t="shared" ca="1" si="39"/>
        <v>0.71535222911102458</v>
      </c>
      <c r="M96">
        <f t="shared" ca="1" si="48"/>
        <v>2.4019210931801296</v>
      </c>
      <c r="N96">
        <f t="shared" si="49"/>
        <v>3.5038043887846815</v>
      </c>
      <c r="O96">
        <f t="shared" ca="1" si="50"/>
        <v>0.88961533292307393</v>
      </c>
      <c r="P96">
        <f t="shared" ca="1" si="51"/>
        <v>160.13644546555042</v>
      </c>
      <c r="Q96">
        <f t="shared" ca="1" si="52"/>
        <v>119.11442812737501</v>
      </c>
      <c r="R96">
        <f t="shared" ca="1" si="53"/>
        <v>320.9030089885718</v>
      </c>
      <c r="S96">
        <f t="shared" ca="1" si="54"/>
        <v>481.03945445412222</v>
      </c>
      <c r="T96">
        <f t="shared" ca="1" si="40"/>
        <v>54.001499807157742</v>
      </c>
      <c r="U96">
        <f t="shared" ca="1" si="41"/>
        <v>108.21548915759266</v>
      </c>
      <c r="V96">
        <f t="shared" ca="1" si="42"/>
        <v>162.21698896475039</v>
      </c>
      <c r="W96">
        <f t="shared" si="55"/>
        <v>0.58047323019368824</v>
      </c>
      <c r="X96">
        <f t="shared" ca="1" si="56"/>
        <v>0.71535222911102458</v>
      </c>
      <c r="Y96">
        <f t="shared" si="57"/>
        <v>1.3109243697478996</v>
      </c>
    </row>
    <row r="97" spans="1:25" x14ac:dyDescent="0.35">
      <c r="A97">
        <f t="shared" si="58"/>
        <v>1.3277310924369752</v>
      </c>
      <c r="B97">
        <f t="shared" si="43"/>
        <v>1.3277310924369752</v>
      </c>
      <c r="C97">
        <f t="shared" si="35"/>
        <v>5.3109243697479007</v>
      </c>
      <c r="D97">
        <f t="shared" si="44"/>
        <v>5.0257397076477668</v>
      </c>
      <c r="E97">
        <f t="shared" si="45"/>
        <v>3.7852090203169877</v>
      </c>
      <c r="F97">
        <f t="shared" si="36"/>
        <v>8.4525777976926655</v>
      </c>
      <c r="G97">
        <f t="shared" si="37"/>
        <v>0</v>
      </c>
      <c r="H97">
        <f t="shared" si="38"/>
        <v>0</v>
      </c>
      <c r="I97">
        <f t="shared" si="34"/>
        <v>3.0777405723129325</v>
      </c>
      <c r="J97">
        <f t="shared" si="46"/>
        <v>3.0777405723129325</v>
      </c>
      <c r="K97">
        <f t="shared" si="47"/>
        <v>3.0777405723129325</v>
      </c>
      <c r="L97">
        <f t="shared" ca="1" si="39"/>
        <v>0.73209094122958551</v>
      </c>
      <c r="M97">
        <f t="shared" ca="1" si="48"/>
        <v>2.464251396803967</v>
      </c>
      <c r="N97">
        <f t="shared" si="49"/>
        <v>3.6208228224557275</v>
      </c>
      <c r="O97">
        <f t="shared" ca="1" si="50"/>
        <v>0.93472550989314773</v>
      </c>
      <c r="P97">
        <f t="shared" ca="1" si="51"/>
        <v>162.17098482567224</v>
      </c>
      <c r="Q97">
        <f t="shared" ca="1" si="52"/>
        <v>119.12803024147793</v>
      </c>
      <c r="R97">
        <f t="shared" ca="1" si="53"/>
        <v>330.11773770640343</v>
      </c>
      <c r="S97">
        <f t="shared" ca="1" si="54"/>
        <v>492.28872253207567</v>
      </c>
      <c r="T97">
        <f t="shared" ca="1" si="40"/>
        <v>52.69157065561253</v>
      </c>
      <c r="U97">
        <f t="shared" ca="1" si="41"/>
        <v>107.25976733585405</v>
      </c>
      <c r="V97">
        <f t="shared" ca="1" si="42"/>
        <v>159.95133799146657</v>
      </c>
      <c r="W97">
        <f t="shared" si="55"/>
        <v>0.60246225539905685</v>
      </c>
      <c r="X97">
        <f t="shared" ca="1" si="56"/>
        <v>0.73209094122958551</v>
      </c>
      <c r="Y97">
        <f t="shared" si="57"/>
        <v>1.3277310924369752</v>
      </c>
    </row>
    <row r="98" spans="1:25" x14ac:dyDescent="0.35">
      <c r="A98">
        <f t="shared" si="58"/>
        <v>1.3445378151260508</v>
      </c>
      <c r="B98">
        <f t="shared" si="43"/>
        <v>1.3445378151260508</v>
      </c>
      <c r="C98">
        <f t="shared" si="35"/>
        <v>5.378151260504203</v>
      </c>
      <c r="D98">
        <f t="shared" si="44"/>
        <v>5.1155638726078685</v>
      </c>
      <c r="E98">
        <f t="shared" si="45"/>
        <v>3.8047006302521011</v>
      </c>
      <c r="F98">
        <f t="shared" si="36"/>
        <v>8.6579314763902087</v>
      </c>
      <c r="G98">
        <f t="shared" si="37"/>
        <v>0</v>
      </c>
      <c r="H98">
        <f t="shared" si="38"/>
        <v>0</v>
      </c>
      <c r="I98">
        <f t="shared" si="34"/>
        <v>3.1980242565568817</v>
      </c>
      <c r="J98">
        <f t="shared" si="46"/>
        <v>3.1980242565568817</v>
      </c>
      <c r="K98">
        <f t="shared" si="47"/>
        <v>3.1980242565568817</v>
      </c>
      <c r="L98">
        <f t="shared" ca="1" si="39"/>
        <v>0.74973616109348939</v>
      </c>
      <c r="M98">
        <f t="shared" ca="1" si="48"/>
        <v>2.5302606389060696</v>
      </c>
      <c r="N98">
        <f t="shared" si="49"/>
        <v>3.7408415664832444</v>
      </c>
      <c r="O98">
        <f t="shared" ca="1" si="50"/>
        <v>0.98363310969399609</v>
      </c>
      <c r="P98">
        <f t="shared" ca="1" si="51"/>
        <v>163.78262701821549</v>
      </c>
      <c r="Q98">
        <f t="shared" ca="1" si="52"/>
        <v>118.96033080651227</v>
      </c>
      <c r="R98">
        <f t="shared" ca="1" si="53"/>
        <v>339.33691847853868</v>
      </c>
      <c r="S98">
        <f t="shared" ca="1" si="54"/>
        <v>503.1195454967542</v>
      </c>
      <c r="T98">
        <f t="shared" ca="1" si="40"/>
        <v>51.213691291557083</v>
      </c>
      <c r="U98">
        <f t="shared" ca="1" si="41"/>
        <v>106.10830039290637</v>
      </c>
      <c r="V98">
        <f t="shared" ca="1" si="42"/>
        <v>157.32199168446346</v>
      </c>
      <c r="W98">
        <f t="shared" si="55"/>
        <v>0.62600757313935573</v>
      </c>
      <c r="X98">
        <f t="shared" ca="1" si="56"/>
        <v>0.74973616109348939</v>
      </c>
      <c r="Y98">
        <f t="shared" si="57"/>
        <v>1.3445378151260508</v>
      </c>
    </row>
    <row r="99" spans="1:25" x14ac:dyDescent="0.35">
      <c r="A99">
        <f t="shared" si="58"/>
        <v>1.3613445378151263</v>
      </c>
      <c r="B99">
        <f t="shared" si="43"/>
        <v>1.3613445378151263</v>
      </c>
      <c r="C99">
        <f t="shared" si="35"/>
        <v>5.4453781512605053</v>
      </c>
      <c r="D99">
        <f t="shared" si="44"/>
        <v>5.2065179012781595</v>
      </c>
      <c r="E99">
        <f t="shared" si="45"/>
        <v>3.8245409274821038</v>
      </c>
      <c r="F99">
        <f t="shared" si="36"/>
        <v>8.8667714559394319</v>
      </c>
      <c r="G99">
        <f t="shared" si="37"/>
        <v>0</v>
      </c>
      <c r="H99">
        <f t="shared" si="38"/>
        <v>0</v>
      </c>
      <c r="I99">
        <f t="shared" si="34"/>
        <v>3.3259760147277957</v>
      </c>
      <c r="J99">
        <f t="shared" si="46"/>
        <v>3.3259760147277957</v>
      </c>
      <c r="K99">
        <f t="shared" si="47"/>
        <v>3.3259760147277957</v>
      </c>
      <c r="L99">
        <f t="shared" ca="1" si="39"/>
        <v>0.76820759304800501</v>
      </c>
      <c r="M99">
        <f t="shared" ca="1" si="48"/>
        <v>2.59969423215232</v>
      </c>
      <c r="N99">
        <f t="shared" si="49"/>
        <v>3.8638985994793389</v>
      </c>
      <c r="O99">
        <f t="shared" ca="1" si="50"/>
        <v>1.0363317794867053</v>
      </c>
      <c r="P99">
        <f t="shared" ca="1" si="51"/>
        <v>164.99701672658071</v>
      </c>
      <c r="Q99">
        <f t="shared" ca="1" si="52"/>
        <v>118.62738895342426</v>
      </c>
      <c r="R99">
        <f t="shared" ca="1" si="53"/>
        <v>348.53217759569964</v>
      </c>
      <c r="S99">
        <f t="shared" ca="1" si="54"/>
        <v>513.52919432228032</v>
      </c>
      <c r="T99">
        <f t="shared" ca="1" si="40"/>
        <v>49.608600902699052</v>
      </c>
      <c r="U99">
        <f t="shared" ca="1" si="41"/>
        <v>104.79094739479778</v>
      </c>
      <c r="V99">
        <f t="shared" ca="1" si="42"/>
        <v>154.39954829749684</v>
      </c>
      <c r="W99">
        <f t="shared" si="55"/>
        <v>0.65105390274341113</v>
      </c>
      <c r="X99">
        <f t="shared" ca="1" si="56"/>
        <v>0.76820759304800501</v>
      </c>
      <c r="Y99">
        <f t="shared" si="57"/>
        <v>1.3613445378151263</v>
      </c>
    </row>
    <row r="100" spans="1:25" x14ac:dyDescent="0.35">
      <c r="A100">
        <f t="shared" si="58"/>
        <v>1.3781512605042019</v>
      </c>
      <c r="B100">
        <f t="shared" si="43"/>
        <v>1.3781512605042019</v>
      </c>
      <c r="C100">
        <f t="shared" si="35"/>
        <v>5.5126050420168076</v>
      </c>
      <c r="D100">
        <f t="shared" si="44"/>
        <v>5.2986017936586407</v>
      </c>
      <c r="E100">
        <f t="shared" si="45"/>
        <v>3.8447171551547448</v>
      </c>
      <c r="F100">
        <f t="shared" si="36"/>
        <v>9.0791219072174698</v>
      </c>
      <c r="G100">
        <f t="shared" si="37"/>
        <v>0</v>
      </c>
      <c r="H100">
        <f t="shared" si="38"/>
        <v>0</v>
      </c>
      <c r="I100">
        <f t="shared" si="34"/>
        <v>3.4613730885754395</v>
      </c>
      <c r="J100">
        <f t="shared" si="46"/>
        <v>3.4613730885754395</v>
      </c>
      <c r="K100">
        <f t="shared" si="47"/>
        <v>3.4613730885754395</v>
      </c>
      <c r="L100">
        <f t="shared" ca="1" si="39"/>
        <v>0.78743822199173386</v>
      </c>
      <c r="M100">
        <f t="shared" ca="1" si="48"/>
        <v>2.6723441427019532</v>
      </c>
      <c r="N100">
        <f t="shared" si="49"/>
        <v>3.9900319000561186</v>
      </c>
      <c r="O100">
        <f t="shared" ca="1" si="50"/>
        <v>1.0928411367927486</v>
      </c>
      <c r="P100">
        <f t="shared" ca="1" si="51"/>
        <v>165.83502162036973</v>
      </c>
      <c r="Q100">
        <f t="shared" ca="1" si="52"/>
        <v>118.14260770249361</v>
      </c>
      <c r="R100">
        <f t="shared" ca="1" si="53"/>
        <v>357.67405597815821</v>
      </c>
      <c r="S100">
        <f t="shared" ca="1" si="54"/>
        <v>523.50907759852794</v>
      </c>
      <c r="T100">
        <f t="shared" ca="1" si="40"/>
        <v>47.910184015621581</v>
      </c>
      <c r="U100">
        <f t="shared" ca="1" si="41"/>
        <v>103.3329972890505</v>
      </c>
      <c r="V100">
        <f t="shared" ca="1" si="42"/>
        <v>151.24318130467208</v>
      </c>
      <c r="W100">
        <f t="shared" si="55"/>
        <v>0.67755763967903682</v>
      </c>
      <c r="X100">
        <f t="shared" ca="1" si="56"/>
        <v>0.78743822199173386</v>
      </c>
      <c r="Y100">
        <f t="shared" si="57"/>
        <v>1.3781512605042019</v>
      </c>
    </row>
    <row r="101" spans="1:25" x14ac:dyDescent="0.35">
      <c r="A101">
        <f t="shared" si="58"/>
        <v>1.3949579831932775</v>
      </c>
      <c r="B101">
        <f t="shared" si="43"/>
        <v>1.3949579831932775</v>
      </c>
      <c r="C101">
        <f t="shared" si="35"/>
        <v>5.5798319327731098</v>
      </c>
      <c r="D101">
        <f t="shared" si="44"/>
        <v>5.3918155497493121</v>
      </c>
      <c r="E101">
        <f t="shared" si="45"/>
        <v>3.8652171712058316</v>
      </c>
      <c r="F101">
        <f t="shared" si="36"/>
        <v>9.2950068079596662</v>
      </c>
      <c r="G101">
        <f t="shared" si="37"/>
        <v>0</v>
      </c>
      <c r="H101">
        <f t="shared" si="38"/>
        <v>0</v>
      </c>
      <c r="I101">
        <f t="shared" si="34"/>
        <v>3.6040375947924255</v>
      </c>
      <c r="J101">
        <f t="shared" si="46"/>
        <v>3.6040375947924255</v>
      </c>
      <c r="K101">
        <f t="shared" si="47"/>
        <v>3.6040375947924255</v>
      </c>
      <c r="L101">
        <f t="shared" ca="1" si="39"/>
        <v>0.80736208901358708</v>
      </c>
      <c r="M101">
        <f t="shared" ca="1" si="48"/>
        <v>2.7480030384289531</v>
      </c>
      <c r="N101">
        <f t="shared" si="49"/>
        <v>4.1192794468256917</v>
      </c>
      <c r="O101">
        <f t="shared" ca="1" si="50"/>
        <v>1.153172211092931</v>
      </c>
      <c r="P101">
        <f t="shared" ca="1" si="51"/>
        <v>166.31864872657954</v>
      </c>
      <c r="Q101">
        <f t="shared" ca="1" si="52"/>
        <v>117.51917883593808</v>
      </c>
      <c r="R101">
        <f t="shared" ca="1" si="53"/>
        <v>366.73385270286781</v>
      </c>
      <c r="S101">
        <f t="shared" ca="1" si="54"/>
        <v>533.05250142944737</v>
      </c>
      <c r="T101">
        <f t="shared" ca="1" si="40"/>
        <v>46.147867316061848</v>
      </c>
      <c r="U101">
        <f t="shared" ca="1" si="41"/>
        <v>101.75638934310003</v>
      </c>
      <c r="V101">
        <f t="shared" ca="1" si="42"/>
        <v>147.90425665916189</v>
      </c>
      <c r="W101">
        <f t="shared" si="55"/>
        <v>0.70548396360447618</v>
      </c>
      <c r="X101">
        <f t="shared" ca="1" si="56"/>
        <v>0.80736208901358708</v>
      </c>
      <c r="Y101">
        <f t="shared" si="57"/>
        <v>1.3949579831932775</v>
      </c>
    </row>
    <row r="102" spans="1:25" x14ac:dyDescent="0.35">
      <c r="A102">
        <f t="shared" si="58"/>
        <v>1.411764705882353</v>
      </c>
      <c r="B102">
        <f t="shared" si="43"/>
        <v>1.411764705882353</v>
      </c>
      <c r="C102">
        <f t="shared" si="35"/>
        <v>5.6470588235294121</v>
      </c>
      <c r="D102">
        <f t="shared" si="44"/>
        <v>5.4861591695501737</v>
      </c>
      <c r="E102">
        <f t="shared" si="45"/>
        <v>3.8860294117647061</v>
      </c>
      <c r="F102">
        <f t="shared" si="36"/>
        <v>9.5144499476072859</v>
      </c>
      <c r="G102">
        <f t="shared" si="37"/>
        <v>0</v>
      </c>
      <c r="H102">
        <f t="shared" si="38"/>
        <v>0</v>
      </c>
      <c r="I102">
        <f t="shared" si="34"/>
        <v>3.7538263580793756</v>
      </c>
      <c r="J102">
        <f t="shared" si="46"/>
        <v>3.7538263580793756</v>
      </c>
      <c r="K102">
        <f t="shared" si="47"/>
        <v>3.7538263580793756</v>
      </c>
      <c r="L102">
        <f t="shared" ca="1" si="39"/>
        <v>0.82789637264989013</v>
      </c>
      <c r="M102">
        <f t="shared" ca="1" si="48"/>
        <v>2.8263953198730936</v>
      </c>
      <c r="N102">
        <f t="shared" si="49"/>
        <v>4.2516792184001631</v>
      </c>
      <c r="O102">
        <f t="shared" ca="1" si="50"/>
        <v>1.2172687534082838</v>
      </c>
      <c r="P102">
        <f t="shared" ca="1" si="51"/>
        <v>166.48032434778335</v>
      </c>
      <c r="Q102">
        <f t="shared" ca="1" si="52"/>
        <v>116.77366664649257</v>
      </c>
      <c r="R102">
        <f t="shared" ca="1" si="53"/>
        <v>375.68770314266624</v>
      </c>
      <c r="S102">
        <f t="shared" ca="1" si="54"/>
        <v>542.16802749044962</v>
      </c>
      <c r="T102">
        <f t="shared" ca="1" si="40"/>
        <v>44.349500607418101</v>
      </c>
      <c r="U102">
        <f t="shared" ca="1" si="41"/>
        <v>100.08126836609586</v>
      </c>
      <c r="V102">
        <f t="shared" ca="1" si="42"/>
        <v>144.43076897351398</v>
      </c>
      <c r="W102">
        <f t="shared" si="55"/>
        <v>0.73480484820894898</v>
      </c>
      <c r="X102">
        <f t="shared" ca="1" si="56"/>
        <v>0.82789637264989013</v>
      </c>
      <c r="Y102">
        <f t="shared" si="57"/>
        <v>1.411764705882353</v>
      </c>
    </row>
    <row r="103" spans="1:25" x14ac:dyDescent="0.35">
      <c r="A103">
        <f t="shared" si="58"/>
        <v>1.4285714285714286</v>
      </c>
      <c r="B103">
        <f t="shared" si="43"/>
        <v>1.4285714285714286</v>
      </c>
      <c r="C103">
        <f t="shared" si="35"/>
        <v>5.7142857142857144</v>
      </c>
      <c r="D103">
        <f t="shared" si="44"/>
        <v>5.5816326530612246</v>
      </c>
      <c r="E103">
        <f t="shared" si="45"/>
        <v>3.907142857142857</v>
      </c>
      <c r="F103">
        <f t="shared" si="36"/>
        <v>9.7374749319548961</v>
      </c>
      <c r="G103">
        <f t="shared" si="37"/>
        <v>0</v>
      </c>
      <c r="H103">
        <f t="shared" si="38"/>
        <v>0</v>
      </c>
      <c r="I103">
        <f t="shared" si="34"/>
        <v>3.9106236534615904</v>
      </c>
      <c r="J103">
        <f t="shared" si="46"/>
        <v>3.9106236534615904</v>
      </c>
      <c r="K103">
        <f t="shared" si="47"/>
        <v>3.9106236534615904</v>
      </c>
      <c r="L103">
        <f t="shared" ca="1" si="39"/>
        <v>0.84903534330163055</v>
      </c>
      <c r="M103">
        <f t="shared" ca="1" si="48"/>
        <v>2.9075365369925508</v>
      </c>
      <c r="N103">
        <f t="shared" si="49"/>
        <v>4.3872691933916421</v>
      </c>
      <c r="O103">
        <f t="shared" ca="1" si="50"/>
        <v>1.2853036808106775</v>
      </c>
      <c r="P103">
        <f t="shared" ca="1" si="51"/>
        <v>166.31267973060827</v>
      </c>
      <c r="Q103">
        <f t="shared" ca="1" si="52"/>
        <v>115.90721705395961</v>
      </c>
      <c r="R103">
        <f t="shared" ca="1" si="53"/>
        <v>384.49928664951591</v>
      </c>
      <c r="S103">
        <f t="shared" ca="1" si="54"/>
        <v>550.8119663801242</v>
      </c>
      <c r="T103">
        <f t="shared" ca="1" si="40"/>
        <v>42.528428830882838</v>
      </c>
      <c r="U103">
        <f t="shared" ca="1" si="41"/>
        <v>98.321730936487938</v>
      </c>
      <c r="V103">
        <f t="shared" ca="1" si="42"/>
        <v>140.85015976737077</v>
      </c>
      <c r="W103">
        <f t="shared" si="55"/>
        <v>0.76549764053401836</v>
      </c>
      <c r="X103">
        <f t="shared" ca="1" si="56"/>
        <v>0.84903534330163055</v>
      </c>
      <c r="Y103">
        <f t="shared" si="57"/>
        <v>1.4285714285714286</v>
      </c>
    </row>
    <row r="104" spans="1:25" x14ac:dyDescent="0.35">
      <c r="A104">
        <f t="shared" si="58"/>
        <v>1.4453781512605042</v>
      </c>
      <c r="B104">
        <f t="shared" si="43"/>
        <v>1.4453781512605042</v>
      </c>
      <c r="C104">
        <f t="shared" si="35"/>
        <v>5.7815126050420167</v>
      </c>
      <c r="D104">
        <f t="shared" si="44"/>
        <v>5.6782360002824657</v>
      </c>
      <c r="E104">
        <f t="shared" si="45"/>
        <v>3.9285470001954268</v>
      </c>
      <c r="F104">
        <f t="shared" si="36"/>
        <v>9.9641051876086379</v>
      </c>
      <c r="G104">
        <f t="shared" si="37"/>
        <v>0</v>
      </c>
      <c r="H104">
        <f t="shared" si="38"/>
        <v>0</v>
      </c>
      <c r="I104">
        <f t="shared" si="34"/>
        <v>4.0743358678852015</v>
      </c>
      <c r="J104">
        <f t="shared" si="46"/>
        <v>4.0743358678852015</v>
      </c>
      <c r="K104">
        <f t="shared" si="47"/>
        <v>4.0743358678852015</v>
      </c>
      <c r="L104">
        <f t="shared" ca="1" si="39"/>
        <v>0.87074286226368047</v>
      </c>
      <c r="M104">
        <f t="shared" ca="1" si="48"/>
        <v>2.9913251528826148</v>
      </c>
      <c r="N104">
        <f t="shared" si="49"/>
        <v>4.5260873504122356</v>
      </c>
      <c r="O104">
        <f t="shared" ca="1" si="50"/>
        <v>1.3573534509633265</v>
      </c>
      <c r="P104">
        <f t="shared" ca="1" si="51"/>
        <v>165.82509150732642</v>
      </c>
      <c r="Q104">
        <f t="shared" ca="1" si="52"/>
        <v>114.92705779936473</v>
      </c>
      <c r="R104">
        <f t="shared" ca="1" si="53"/>
        <v>393.13722249755011</v>
      </c>
      <c r="S104">
        <f t="shared" ca="1" si="54"/>
        <v>558.96231400487659</v>
      </c>
      <c r="T104">
        <f t="shared" ca="1" si="40"/>
        <v>40.699907146682662</v>
      </c>
      <c r="U104">
        <f t="shared" ca="1" si="41"/>
        <v>96.491117876742294</v>
      </c>
      <c r="V104">
        <f t="shared" ca="1" si="42"/>
        <v>137.19102502342497</v>
      </c>
      <c r="W104">
        <f t="shared" si="55"/>
        <v>0.79754401599051172</v>
      </c>
      <c r="X104">
        <f t="shared" ca="1" si="56"/>
        <v>0.87074286226368047</v>
      </c>
      <c r="Y104">
        <f t="shared" si="57"/>
        <v>1.4453781512605042</v>
      </c>
    </row>
    <row r="105" spans="1:25" x14ac:dyDescent="0.35">
      <c r="A105">
        <f t="shared" si="58"/>
        <v>1.4621848739495797</v>
      </c>
      <c r="B105">
        <f t="shared" si="43"/>
        <v>1.4621848739495797</v>
      </c>
      <c r="C105">
        <f t="shared" si="35"/>
        <v>5.848739495798319</v>
      </c>
      <c r="D105">
        <f t="shared" si="44"/>
        <v>5.7759692112138969</v>
      </c>
      <c r="E105">
        <f t="shared" si="45"/>
        <v>3.9502318168646768</v>
      </c>
      <c r="F105">
        <f t="shared" si="36"/>
        <v>10.194363966265795</v>
      </c>
      <c r="G105">
        <f t="shared" si="37"/>
        <v>0</v>
      </c>
      <c r="H105">
        <f t="shared" si="38"/>
        <v>0</v>
      </c>
      <c r="I105">
        <f t="shared" si="34"/>
        <v>4.2448874744133551</v>
      </c>
      <c r="J105">
        <f t="shared" si="46"/>
        <v>4.2448874744133551</v>
      </c>
      <c r="K105">
        <f t="shared" si="47"/>
        <v>4.2448874744133551</v>
      </c>
      <c r="L105">
        <f t="shared" ca="1" si="39"/>
        <v>0.89295788369422513</v>
      </c>
      <c r="M105">
        <f t="shared" ca="1" si="48"/>
        <v>3.0775605421085097</v>
      </c>
      <c r="N105">
        <f t="shared" si="49"/>
        <v>4.6681716680740504</v>
      </c>
      <c r="O105">
        <f t="shared" ca="1" si="50"/>
        <v>1.4334010747222103</v>
      </c>
      <c r="P105">
        <f t="shared" ca="1" si="51"/>
        <v>165.04105976906854</v>
      </c>
      <c r="Q105">
        <f t="shared" ca="1" si="52"/>
        <v>113.84539805107092</v>
      </c>
      <c r="R105">
        <f t="shared" ca="1" si="53"/>
        <v>401.57719186686796</v>
      </c>
      <c r="S105">
        <f t="shared" ca="1" si="54"/>
        <v>566.61825163593653</v>
      </c>
      <c r="T105">
        <f t="shared" ca="1" si="40"/>
        <v>38.879961074086488</v>
      </c>
      <c r="U105">
        <f t="shared" ca="1" si="41"/>
        <v>94.602552903328984</v>
      </c>
      <c r="V105">
        <f t="shared" ca="1" si="42"/>
        <v>133.48251397741546</v>
      </c>
      <c r="W105">
        <f t="shared" si="55"/>
        <v>0.83092919031456669</v>
      </c>
      <c r="X105">
        <f t="shared" ca="1" si="56"/>
        <v>0.89295788369422513</v>
      </c>
      <c r="Y105">
        <f t="shared" si="57"/>
        <v>1.4621848739495797</v>
      </c>
    </row>
    <row r="106" spans="1:25" x14ac:dyDescent="0.35">
      <c r="A106">
        <f t="shared" si="58"/>
        <v>1.4789915966386553</v>
      </c>
      <c r="B106">
        <f t="shared" si="43"/>
        <v>1.4789915966386553</v>
      </c>
      <c r="C106">
        <f t="shared" si="35"/>
        <v>5.9159663865546213</v>
      </c>
      <c r="D106">
        <f t="shared" si="44"/>
        <v>5.8748322858555184</v>
      </c>
      <c r="E106">
        <f t="shared" si="45"/>
        <v>3.9721877387318565</v>
      </c>
      <c r="F106">
        <f t="shared" si="36"/>
        <v>10.428274348825353</v>
      </c>
      <c r="G106">
        <f t="shared" si="37"/>
        <v>0</v>
      </c>
      <c r="H106">
        <f t="shared" si="38"/>
        <v>0</v>
      </c>
      <c r="I106">
        <f t="shared" si="34"/>
        <v>4.4222179316380652</v>
      </c>
      <c r="J106">
        <f t="shared" si="46"/>
        <v>4.4222179316380652</v>
      </c>
      <c r="K106">
        <f t="shared" si="47"/>
        <v>4.4222179316380652</v>
      </c>
      <c r="L106">
        <f t="shared" ca="1" si="39"/>
        <v>0.9156342569992274</v>
      </c>
      <c r="M106">
        <f t="shared" ca="1" si="48"/>
        <v>3.1660958172929456</v>
      </c>
      <c r="N106">
        <f t="shared" si="49"/>
        <v>4.8135601249891931</v>
      </c>
      <c r="O106">
        <f t="shared" ca="1" si="50"/>
        <v>1.5134641478749953</v>
      </c>
      <c r="P106">
        <f t="shared" ca="1" si="51"/>
        <v>163.97681466303905</v>
      </c>
      <c r="Q106">
        <f t="shared" ca="1" si="52"/>
        <v>112.67146792788559</v>
      </c>
      <c r="R106">
        <f t="shared" ca="1" si="53"/>
        <v>409.79414754859744</v>
      </c>
      <c r="S106">
        <f t="shared" ca="1" si="54"/>
        <v>573.77096221163652</v>
      </c>
      <c r="T106">
        <f t="shared" ca="1" si="40"/>
        <v>37.080220196723602</v>
      </c>
      <c r="U106">
        <f t="shared" ca="1" si="41"/>
        <v>92.667108198533015</v>
      </c>
      <c r="V106">
        <f t="shared" ca="1" si="42"/>
        <v>129.7473283952566</v>
      </c>
      <c r="W106">
        <f t="shared" si="55"/>
        <v>0.86564131263300426</v>
      </c>
      <c r="X106">
        <f t="shared" ca="1" si="56"/>
        <v>0.9156342569992274</v>
      </c>
      <c r="Y106">
        <f t="shared" si="57"/>
        <v>1.4789915966386553</v>
      </c>
    </row>
    <row r="107" spans="1:25" x14ac:dyDescent="0.35">
      <c r="A107">
        <f t="shared" si="58"/>
        <v>1.4957983193277309</v>
      </c>
      <c r="B107">
        <f t="shared" si="43"/>
        <v>1.4957983193277309</v>
      </c>
      <c r="C107">
        <f t="shared" si="35"/>
        <v>5.9831932773109235</v>
      </c>
      <c r="D107">
        <f t="shared" si="44"/>
        <v>5.9748252242073292</v>
      </c>
      <c r="E107">
        <f t="shared" si="45"/>
        <v>3.994405627419507</v>
      </c>
      <c r="F107">
        <f t="shared" si="36"/>
        <v>10.665859249338661</v>
      </c>
      <c r="G107">
        <f t="shared" si="37"/>
        <v>0</v>
      </c>
      <c r="H107">
        <f t="shared" si="38"/>
        <v>0</v>
      </c>
      <c r="I107">
        <f t="shared" si="34"/>
        <v>4.6062792522348248</v>
      </c>
      <c r="J107">
        <f t="shared" si="46"/>
        <v>4.6062792522348248</v>
      </c>
      <c r="K107">
        <f t="shared" si="47"/>
        <v>4.6062792522348248</v>
      </c>
      <c r="L107">
        <f t="shared" ca="1" si="39"/>
        <v>0.93878987699277694</v>
      </c>
      <c r="M107">
        <f t="shared" ca="1" si="48"/>
        <v>3.2570328475503874</v>
      </c>
      <c r="N107">
        <f t="shared" si="49"/>
        <v>4.9622906997697722</v>
      </c>
      <c r="O107">
        <f t="shared" ca="1" si="50"/>
        <v>1.5977830943034517</v>
      </c>
      <c r="P107">
        <f t="shared" ca="1" si="51"/>
        <v>162.61432689852865</v>
      </c>
      <c r="Q107">
        <f t="shared" ca="1" si="52"/>
        <v>111.40168846699079</v>
      </c>
      <c r="R107">
        <f t="shared" ca="1" si="53"/>
        <v>417.74603462850627</v>
      </c>
      <c r="S107">
        <f t="shared" ca="1" si="54"/>
        <v>580.36036152703491</v>
      </c>
      <c r="T107">
        <f t="shared" ca="1" si="40"/>
        <v>35.302750439985417</v>
      </c>
      <c r="U107">
        <f t="shared" ca="1" si="41"/>
        <v>90.690557769772369</v>
      </c>
      <c r="V107">
        <f t="shared" ca="1" si="42"/>
        <v>125.99330820975779</v>
      </c>
      <c r="W107">
        <f t="shared" si="55"/>
        <v>0.9016709895122087</v>
      </c>
      <c r="X107">
        <f t="shared" ca="1" si="56"/>
        <v>0.93878987699277694</v>
      </c>
      <c r="Y107">
        <f t="shared" si="57"/>
        <v>1.4957983193277309</v>
      </c>
    </row>
    <row r="108" spans="1:25" x14ac:dyDescent="0.35">
      <c r="A108">
        <f t="shared" si="58"/>
        <v>1.5126050420168065</v>
      </c>
      <c r="B108">
        <f t="shared" si="43"/>
        <v>1.5126050420168065</v>
      </c>
      <c r="C108">
        <f t="shared" si="35"/>
        <v>6.0504201680672258</v>
      </c>
      <c r="D108">
        <f t="shared" si="44"/>
        <v>6.0759480262693302</v>
      </c>
      <c r="E108">
        <f t="shared" si="45"/>
        <v>4.0168767507002805</v>
      </c>
      <c r="F108">
        <f t="shared" si="36"/>
        <v>10.907141418808594</v>
      </c>
      <c r="G108">
        <f t="shared" si="37"/>
        <v>0</v>
      </c>
      <c r="H108">
        <f t="shared" si="38"/>
        <v>0</v>
      </c>
      <c r="I108">
        <f t="shared" si="34"/>
        <v>4.7970340663014843</v>
      </c>
      <c r="J108">
        <f t="shared" si="46"/>
        <v>4.7970340663014843</v>
      </c>
      <c r="K108">
        <f t="shared" si="47"/>
        <v>4.7970340663014843</v>
      </c>
      <c r="L108">
        <f t="shared" ca="1" si="39"/>
        <v>0.9623478647198398</v>
      </c>
      <c r="M108">
        <f t="shared" ca="1" si="48"/>
        <v>3.3501003005249368</v>
      </c>
      <c r="N108">
        <f t="shared" si="49"/>
        <v>5.1144013710278946</v>
      </c>
      <c r="O108">
        <f t="shared" ca="1" si="50"/>
        <v>1.6862512075062268</v>
      </c>
      <c r="P108">
        <f t="shared" ca="1" si="51"/>
        <v>160.98728502002385</v>
      </c>
      <c r="Q108">
        <f t="shared" ca="1" si="52"/>
        <v>110.05143545939333</v>
      </c>
      <c r="R108">
        <f t="shared" ca="1" si="53"/>
        <v>425.41843462376619</v>
      </c>
      <c r="S108">
        <f t="shared" ca="1" si="54"/>
        <v>586.40571964379001</v>
      </c>
      <c r="T108">
        <f t="shared" ca="1" si="40"/>
        <v>33.559754380511443</v>
      </c>
      <c r="U108">
        <f t="shared" ca="1" si="41"/>
        <v>88.683638419888069</v>
      </c>
      <c r="V108">
        <f t="shared" ca="1" si="42"/>
        <v>122.2433928003995</v>
      </c>
      <c r="W108">
        <f t="shared" si="55"/>
        <v>0.93901090586014924</v>
      </c>
      <c r="X108">
        <f t="shared" ca="1" si="56"/>
        <v>0.9623478647198398</v>
      </c>
      <c r="Y108">
        <f t="shared" si="57"/>
        <v>1.5126050420168065</v>
      </c>
    </row>
    <row r="109" spans="1:25" x14ac:dyDescent="0.35">
      <c r="A109">
        <f t="shared" si="58"/>
        <v>1.529411764705882</v>
      </c>
      <c r="B109">
        <f t="shared" si="43"/>
        <v>1.529411764705882</v>
      </c>
      <c r="C109">
        <f t="shared" si="35"/>
        <v>6.1176470588235281</v>
      </c>
      <c r="D109">
        <f t="shared" si="44"/>
        <v>6.1782006920415204</v>
      </c>
      <c r="E109">
        <f t="shared" si="45"/>
        <v>4.0395927601809953</v>
      </c>
      <c r="F109">
        <f t="shared" si="36"/>
        <v>11.152143448845148</v>
      </c>
      <c r="G109">
        <f t="shared" si="37"/>
        <v>0</v>
      </c>
      <c r="H109">
        <f t="shared" si="38"/>
        <v>0</v>
      </c>
      <c r="I109">
        <f t="shared" si="34"/>
        <v>4.9944540576808443</v>
      </c>
      <c r="J109">
        <f t="shared" si="46"/>
        <v>4.9944540576808443</v>
      </c>
      <c r="K109">
        <f t="shared" si="47"/>
        <v>4.9944540576808443</v>
      </c>
      <c r="L109">
        <f t="shared" ca="1" si="39"/>
        <v>0.98630990878703084</v>
      </c>
      <c r="M109">
        <f t="shared" ca="1" si="48"/>
        <v>3.445333344446833</v>
      </c>
      <c r="N109">
        <f t="shared" si="49"/>
        <v>5.269930117375667</v>
      </c>
      <c r="O109">
        <f t="shared" ca="1" si="50"/>
        <v>1.7790406597157742</v>
      </c>
      <c r="P109">
        <f t="shared" ca="1" si="51"/>
        <v>159.08706266534435</v>
      </c>
      <c r="Q109">
        <f t="shared" ca="1" si="52"/>
        <v>108.62037118377023</v>
      </c>
      <c r="R109">
        <f t="shared" ca="1" si="53"/>
        <v>432.77509854908891</v>
      </c>
      <c r="S109">
        <f t="shared" ca="1" si="54"/>
        <v>591.86216121443329</v>
      </c>
      <c r="T109">
        <f t="shared" ca="1" si="40"/>
        <v>31.852743228399184</v>
      </c>
      <c r="U109">
        <f t="shared" ca="1" si="41"/>
        <v>86.651132145971999</v>
      </c>
      <c r="V109">
        <f t="shared" ca="1" si="42"/>
        <v>118.50387537437119</v>
      </c>
      <c r="W109">
        <f t="shared" si="55"/>
        <v>0.97765551883930268</v>
      </c>
      <c r="X109">
        <f t="shared" ca="1" si="56"/>
        <v>0.98630990878703084</v>
      </c>
      <c r="Y109">
        <f t="shared" si="57"/>
        <v>1.529411764705882</v>
      </c>
    </row>
    <row r="110" spans="1:25" x14ac:dyDescent="0.35">
      <c r="A110">
        <f t="shared" si="58"/>
        <v>1.5462184873949576</v>
      </c>
      <c r="B110">
        <f t="shared" si="43"/>
        <v>1.5462184873949576</v>
      </c>
      <c r="C110">
        <f t="shared" si="35"/>
        <v>6.1848739495798304</v>
      </c>
      <c r="D110">
        <f t="shared" si="44"/>
        <v>6.2815832215239009</v>
      </c>
      <c r="E110">
        <f t="shared" si="45"/>
        <v>4.0625456704420895</v>
      </c>
      <c r="F110">
        <f t="shared" si="36"/>
        <v>11.400887775184861</v>
      </c>
      <c r="G110">
        <f t="shared" si="37"/>
        <v>0</v>
      </c>
      <c r="H110">
        <f t="shared" si="38"/>
        <v>0</v>
      </c>
      <c r="I110">
        <f t="shared" si="34"/>
        <v>5.1985186862542339</v>
      </c>
      <c r="J110">
        <f t="shared" si="46"/>
        <v>5.1985186862542339</v>
      </c>
      <c r="K110">
        <f t="shared" si="47"/>
        <v>5.1985186862542339</v>
      </c>
      <c r="L110">
        <f t="shared" ca="1" si="39"/>
        <v>1.0106232258075531</v>
      </c>
      <c r="M110">
        <f t="shared" ca="1" si="48"/>
        <v>3.5427186090833289</v>
      </c>
      <c r="N110">
        <f t="shared" si="49"/>
        <v>5.4289149174251969</v>
      </c>
      <c r="O110">
        <f t="shared" ca="1" si="50"/>
        <v>1.8762792467526079</v>
      </c>
      <c r="P110">
        <f t="shared" ca="1" si="51"/>
        <v>156.93509619954887</v>
      </c>
      <c r="Q110">
        <f t="shared" ca="1" si="52"/>
        <v>107.11905231748089</v>
      </c>
      <c r="R110">
        <f t="shared" ca="1" si="53"/>
        <v>439.79901557672082</v>
      </c>
      <c r="S110">
        <f t="shared" ca="1" si="54"/>
        <v>596.73411177626963</v>
      </c>
      <c r="T110">
        <f t="shared" ca="1" si="40"/>
        <v>30.188425909579188</v>
      </c>
      <c r="U110">
        <f t="shared" ca="1" si="41"/>
        <v>84.600833837459135</v>
      </c>
      <c r="V110">
        <f t="shared" ca="1" si="42"/>
        <v>114.78925974703832</v>
      </c>
      <c r="W110">
        <f t="shared" si="55"/>
        <v>1.0176008077578889</v>
      </c>
      <c r="X110">
        <f t="shared" ca="1" si="56"/>
        <v>1.0106232258075531</v>
      </c>
      <c r="Y110">
        <f t="shared" si="57"/>
        <v>1.5462184873949576</v>
      </c>
    </row>
    <row r="111" spans="1:25" x14ac:dyDescent="0.35">
      <c r="A111">
        <f t="shared" si="58"/>
        <v>1.5630252100840332</v>
      </c>
      <c r="B111">
        <f t="shared" si="43"/>
        <v>1.5630252100840332</v>
      </c>
      <c r="C111">
        <f t="shared" si="35"/>
        <v>6.2521008403361327</v>
      </c>
      <c r="D111">
        <f t="shared" si="44"/>
        <v>6.3860956147164725</v>
      </c>
      <c r="E111">
        <f t="shared" si="45"/>
        <v>4.0857278395229057</v>
      </c>
      <c r="F111">
        <f t="shared" si="36"/>
        <v>11.653396681080963</v>
      </c>
      <c r="G111">
        <f t="shared" si="37"/>
        <v>0</v>
      </c>
      <c r="H111">
        <f t="shared" si="38"/>
        <v>0</v>
      </c>
      <c r="I111">
        <f t="shared" si="34"/>
        <v>5.4092141328049328</v>
      </c>
      <c r="J111">
        <f t="shared" si="46"/>
        <v>5.4092141328049328</v>
      </c>
      <c r="K111">
        <f t="shared" si="47"/>
        <v>5.4092141328049328</v>
      </c>
      <c r="L111">
        <f t="shared" ca="1" si="39"/>
        <v>1.0350099890717663</v>
      </c>
      <c r="M111">
        <f t="shared" ca="1" si="48"/>
        <v>3.6424913549566758</v>
      </c>
      <c r="N111">
        <f t="shared" si="49"/>
        <v>5.5913937497885913</v>
      </c>
      <c r="O111">
        <f t="shared" ca="1" si="50"/>
        <v>1.9783333025867085</v>
      </c>
      <c r="P111">
        <f t="shared" ca="1" si="51"/>
        <v>154.68052645812875</v>
      </c>
      <c r="Q111">
        <f t="shared" ca="1" si="52"/>
        <v>105.60304420245336</v>
      </c>
      <c r="R111">
        <f t="shared" ca="1" si="53"/>
        <v>446.57089299142609</v>
      </c>
      <c r="S111">
        <f t="shared" ca="1" si="54"/>
        <v>601.25141944955487</v>
      </c>
      <c r="T111">
        <f t="shared" ca="1" si="40"/>
        <v>28.595748413812487</v>
      </c>
      <c r="U111">
        <f t="shared" ca="1" si="41"/>
        <v>82.557444025581219</v>
      </c>
      <c r="V111">
        <f t="shared" ca="1" si="42"/>
        <v>111.15319243939371</v>
      </c>
      <c r="W111">
        <f t="shared" si="55"/>
        <v>1.058844067528758</v>
      </c>
      <c r="X111">
        <f t="shared" ca="1" si="56"/>
        <v>1.0350099890717663</v>
      </c>
      <c r="Y111">
        <f t="shared" si="57"/>
        <v>1.5630252100840332</v>
      </c>
    </row>
    <row r="112" spans="1:25" x14ac:dyDescent="0.35">
      <c r="A112">
        <f t="shared" si="58"/>
        <v>1.5798319327731087</v>
      </c>
      <c r="B112">
        <f t="shared" si="43"/>
        <v>1.5798319327731087</v>
      </c>
      <c r="C112">
        <f t="shared" si="35"/>
        <v>6.319327731092435</v>
      </c>
      <c r="D112">
        <f t="shared" si="44"/>
        <v>6.4917378716192324</v>
      </c>
      <c r="E112">
        <f t="shared" si="45"/>
        <v>4.1091319506526007</v>
      </c>
      <c r="F112">
        <f t="shared" si="36"/>
        <v>11.909692300570734</v>
      </c>
      <c r="G112">
        <f t="shared" si="37"/>
        <v>0</v>
      </c>
      <c r="H112">
        <f t="shared" si="38"/>
        <v>0</v>
      </c>
      <c r="I112">
        <f t="shared" si="34"/>
        <v>5.6265324194366864</v>
      </c>
      <c r="J112">
        <f t="shared" si="46"/>
        <v>5.6265324194366864</v>
      </c>
      <c r="K112">
        <f t="shared" si="47"/>
        <v>5.6265324194366864</v>
      </c>
      <c r="L112">
        <f t="shared" ca="1" si="39"/>
        <v>1.0594865106800764</v>
      </c>
      <c r="M112">
        <f t="shared" ca="1" si="48"/>
        <v>3.7450233326260873</v>
      </c>
      <c r="N112">
        <f t="shared" si="49"/>
        <v>5.7574045930779576</v>
      </c>
      <c r="O112">
        <f t="shared" ca="1" si="50"/>
        <v>2.0857146247195795</v>
      </c>
      <c r="P112">
        <f t="shared" ca="1" si="51"/>
        <v>152.3165931212593</v>
      </c>
      <c r="Q112">
        <f t="shared" ca="1" si="52"/>
        <v>104.06908441860647</v>
      </c>
      <c r="R112">
        <f t="shared" ca="1" si="53"/>
        <v>453.07203056486969</v>
      </c>
      <c r="S112">
        <f t="shared" ca="1" si="54"/>
        <v>605.38862368612899</v>
      </c>
      <c r="T112">
        <f t="shared" ca="1" si="40"/>
        <v>27.071130452405505</v>
      </c>
      <c r="U112">
        <f t="shared" ca="1" si="41"/>
        <v>80.52420154902974</v>
      </c>
      <c r="V112">
        <f t="shared" ca="1" si="42"/>
        <v>107.59533200143525</v>
      </c>
      <c r="W112">
        <f t="shared" si="55"/>
        <v>1.1013837364928754</v>
      </c>
      <c r="X112">
        <f t="shared" ca="1" si="56"/>
        <v>1.0594865106800764</v>
      </c>
      <c r="Y112">
        <f t="shared" si="57"/>
        <v>1.5798319327731087</v>
      </c>
    </row>
    <row r="113" spans="1:25" x14ac:dyDescent="0.35">
      <c r="A113">
        <f t="shared" si="58"/>
        <v>1.5966386554621843</v>
      </c>
      <c r="B113">
        <f t="shared" si="43"/>
        <v>1.5966386554621843</v>
      </c>
      <c r="C113">
        <f t="shared" si="35"/>
        <v>6.3865546218487372</v>
      </c>
      <c r="D113">
        <f t="shared" si="44"/>
        <v>6.5985099922321835</v>
      </c>
      <c r="E113">
        <f t="shared" si="45"/>
        <v>4.1327509951348951</v>
      </c>
      <c r="F113">
        <f t="shared" si="36"/>
        <v>12.16979662162619</v>
      </c>
      <c r="G113">
        <f t="shared" si="37"/>
        <v>0</v>
      </c>
      <c r="H113">
        <f t="shared" si="38"/>
        <v>0</v>
      </c>
      <c r="I113">
        <f t="shared" si="34"/>
        <v>5.8504706701317044</v>
      </c>
      <c r="J113">
        <f t="shared" si="46"/>
        <v>5.8504706701317044</v>
      </c>
      <c r="K113">
        <f t="shared" si="47"/>
        <v>5.8504706701317044</v>
      </c>
      <c r="L113">
        <f t="shared" ca="1" si="39"/>
        <v>1.0839130929578289</v>
      </c>
      <c r="M113">
        <f t="shared" ca="1" si="48"/>
        <v>3.8497351861708142</v>
      </c>
      <c r="N113">
        <f t="shared" si="49"/>
        <v>5.9269854259054036</v>
      </c>
      <c r="O113">
        <f t="shared" ca="1" si="50"/>
        <v>2.1979391555161651</v>
      </c>
      <c r="P113">
        <f t="shared" ca="1" si="51"/>
        <v>149.92265370134064</v>
      </c>
      <c r="Q113">
        <f t="shared" ca="1" si="52"/>
        <v>102.54511250087108</v>
      </c>
      <c r="R113">
        <f t="shared" ca="1" si="53"/>
        <v>459.35523202361406</v>
      </c>
      <c r="S113">
        <f t="shared" ca="1" si="54"/>
        <v>609.27788572495467</v>
      </c>
      <c r="T113">
        <f t="shared" ca="1" si="40"/>
        <v>25.625742295699023</v>
      </c>
      <c r="U113">
        <f t="shared" ca="1" si="41"/>
        <v>78.515944771546586</v>
      </c>
      <c r="V113">
        <f t="shared" ca="1" si="42"/>
        <v>104.14168706724561</v>
      </c>
      <c r="W113">
        <f t="shared" si="55"/>
        <v>1.145219251674862</v>
      </c>
      <c r="X113">
        <f t="shared" ca="1" si="56"/>
        <v>1.0839130929578289</v>
      </c>
      <c r="Y113">
        <f t="shared" si="57"/>
        <v>1.5966386554621843</v>
      </c>
    </row>
    <row r="114" spans="1:25" x14ac:dyDescent="0.35">
      <c r="A114">
        <f t="shared" si="58"/>
        <v>1.6134453781512599</v>
      </c>
      <c r="B114">
        <f t="shared" si="43"/>
        <v>1.6134453781512599</v>
      </c>
      <c r="C114">
        <f t="shared" ref="C114:C117" si="59">2*MIN(B114,$B$5)/$Q$5+$B$6+(B114&gt;$B$5)*(2*(B114-$B$5)/$Q$6)</f>
        <v>6.4537815126050395</v>
      </c>
      <c r="D114">
        <f t="shared" si="44"/>
        <v>6.7064119765553238</v>
      </c>
      <c r="E114">
        <f t="shared" si="45"/>
        <v>4.1565782563025202</v>
      </c>
      <c r="F114">
        <f t="shared" ref="F114:F137" si="60">E114*($Q$3*$B$4*B114^3/$I$11)^(1/2)</f>
        <v>12.433731489193713</v>
      </c>
      <c r="G114">
        <f t="shared" ref="G114:G117" si="61">IF(B114&lt;$B$10,F114,0)</f>
        <v>0</v>
      </c>
      <c r="H114">
        <f t="shared" ref="H114:H137" si="62">IF(AND(B114&gt;=$B$10,B114&lt;$B$11),E114*((2*$Q$3*(B114-$B$10)^(3)/(3*SQRT(3)*$Q$4))^(1/2)+(2/3*$Q$3*$B$10^2*B114/(1+(2/3*$I$11/$B$4-1)*$B$10/B114))^(1/2)),0)</f>
        <v>0</v>
      </c>
      <c r="I114">
        <f t="shared" si="34"/>
        <v>6.0810304843903493</v>
      </c>
      <c r="J114">
        <f t="shared" si="46"/>
        <v>6.0810304843903493</v>
      </c>
      <c r="K114">
        <f t="shared" si="47"/>
        <v>6.0810304843903493</v>
      </c>
      <c r="L114">
        <f t="shared" ref="L114:L137" ca="1" si="63">FORECAST(K114,OFFSET($B$18:$B$136,MATCH(K114,$F$18:$F$136,1)-1,0,2),OFFSET($F$18:$F$136,MATCH(K114,$F$18:$F$136,1)-1,0,2))</f>
        <v>1.1084182526068749</v>
      </c>
      <c r="M114">
        <f t="shared" ca="1" si="48"/>
        <v>3.9571820454241555</v>
      </c>
      <c r="N114">
        <f t="shared" si="49"/>
        <v>6.100174226883035</v>
      </c>
      <c r="O114">
        <f t="shared" ca="1" si="50"/>
        <v>2.3157236194173532</v>
      </c>
      <c r="P114">
        <f t="shared" ca="1" si="51"/>
        <v>147.43079423735068</v>
      </c>
      <c r="Q114">
        <f t="shared" ca="1" si="52"/>
        <v>101.00542510887699</v>
      </c>
      <c r="R114">
        <f t="shared" ca="1" si="53"/>
        <v>465.35494268435423</v>
      </c>
      <c r="S114">
        <f t="shared" ca="1" si="54"/>
        <v>612.78573692170494</v>
      </c>
      <c r="T114">
        <f t="shared" ref="T114:T137" ca="1" si="64">IFERROR(P114/$K114,0)</f>
        <v>24.244376773936086</v>
      </c>
      <c r="U114">
        <f t="shared" ref="U114:U137" ca="1" si="65">IFERROR(R114/$K114,0)</f>
        <v>76.52567173917204</v>
      </c>
      <c r="V114">
        <f t="shared" ref="V114:V137" ca="1" si="66">IFERROR(S114/$K114,0)</f>
        <v>100.77004851310814</v>
      </c>
      <c r="W114">
        <f t="shared" si="55"/>
        <v>1.1903509261740757</v>
      </c>
      <c r="X114">
        <f t="shared" ca="1" si="56"/>
        <v>1.1084182526068749</v>
      </c>
      <c r="Y114">
        <f t="shared" si="57"/>
        <v>1.6134453781512599</v>
      </c>
    </row>
    <row r="115" spans="1:25" x14ac:dyDescent="0.35">
      <c r="A115">
        <f t="shared" si="58"/>
        <v>1.6302521008403354</v>
      </c>
      <c r="B115">
        <f t="shared" si="43"/>
        <v>1.6302521008403354</v>
      </c>
      <c r="C115">
        <f t="shared" si="59"/>
        <v>6.5210084033613418</v>
      </c>
      <c r="D115">
        <f t="shared" si="44"/>
        <v>6.8154438245886544</v>
      </c>
      <c r="E115">
        <f t="shared" si="45"/>
        <v>4.1806072944641768</v>
      </c>
      <c r="F115">
        <f t="shared" si="60"/>
        <v>12.701518608128074</v>
      </c>
      <c r="G115">
        <f t="shared" si="61"/>
        <v>0</v>
      </c>
      <c r="H115">
        <f t="shared" si="62"/>
        <v>0</v>
      </c>
      <c r="I115">
        <f t="shared" si="34"/>
        <v>6.3182174030141676</v>
      </c>
      <c r="J115">
        <f t="shared" si="46"/>
        <v>6.3182174030141676</v>
      </c>
      <c r="K115">
        <f t="shared" si="47"/>
        <v>6.3182174030141676</v>
      </c>
      <c r="L115">
        <f t="shared" ca="1" si="63"/>
        <v>1.1328589965097928</v>
      </c>
      <c r="M115">
        <f t="shared" ca="1" si="48"/>
        <v>4.0667390119463498</v>
      </c>
      <c r="N115">
        <f t="shared" si="49"/>
        <v>6.2770089746229614</v>
      </c>
      <c r="O115">
        <f t="shared" ca="1" si="50"/>
        <v>2.4385022542507189</v>
      </c>
      <c r="P115">
        <f t="shared" ca="1" si="51"/>
        <v>144.92234892412864</v>
      </c>
      <c r="Q115">
        <f t="shared" ca="1" si="52"/>
        <v>99.478620866108528</v>
      </c>
      <c r="R115">
        <f t="shared" ca="1" si="53"/>
        <v>471.13458674560536</v>
      </c>
      <c r="S115">
        <f t="shared" ca="1" si="54"/>
        <v>616.056935669734</v>
      </c>
      <c r="T115">
        <f t="shared" ca="1" si="64"/>
        <v>22.937221003980017</v>
      </c>
      <c r="U115">
        <f t="shared" ca="1" si="65"/>
        <v>74.5676441144374</v>
      </c>
      <c r="V115">
        <f t="shared" ca="1" si="66"/>
        <v>97.504865118417413</v>
      </c>
      <c r="W115">
        <f t="shared" si="55"/>
        <v>1.2367798445925864</v>
      </c>
      <c r="X115">
        <f t="shared" ca="1" si="56"/>
        <v>1.1328589965097928</v>
      </c>
      <c r="Y115">
        <f t="shared" si="57"/>
        <v>1.6302521008403354</v>
      </c>
    </row>
    <row r="116" spans="1:25" x14ac:dyDescent="0.35">
      <c r="A116">
        <f t="shared" si="58"/>
        <v>1.647058823529411</v>
      </c>
      <c r="B116">
        <f t="shared" si="43"/>
        <v>1.647058823529411</v>
      </c>
      <c r="C116">
        <f t="shared" si="59"/>
        <v>6.5882352941176441</v>
      </c>
      <c r="D116">
        <f t="shared" si="44"/>
        <v>6.9256055363321751</v>
      </c>
      <c r="E116">
        <f t="shared" si="45"/>
        <v>4.2048319327731081</v>
      </c>
      <c r="F116">
        <f t="shared" si="60"/>
        <v>12.973179546025822</v>
      </c>
      <c r="G116">
        <f t="shared" si="61"/>
        <v>0</v>
      </c>
      <c r="H116">
        <f t="shared" si="62"/>
        <v>0</v>
      </c>
      <c r="I116">
        <f t="shared" si="34"/>
        <v>6.5620404496399507</v>
      </c>
      <c r="J116">
        <f t="shared" si="46"/>
        <v>6.5620404496399507</v>
      </c>
      <c r="K116">
        <f t="shared" si="47"/>
        <v>6.5620404496399507</v>
      </c>
      <c r="L116">
        <f t="shared" ca="1" si="63"/>
        <v>1.1573439978740416</v>
      </c>
      <c r="M116">
        <f t="shared" ca="1" si="48"/>
        <v>4.1788902588301395</v>
      </c>
      <c r="N116">
        <f t="shared" si="49"/>
        <v>6.4575276477372876</v>
      </c>
      <c r="O116">
        <f t="shared" ca="1" si="50"/>
        <v>2.566931708013533</v>
      </c>
      <c r="P116">
        <f t="shared" ca="1" si="51"/>
        <v>142.34029988756819</v>
      </c>
      <c r="Q116">
        <f t="shared" ca="1" si="52"/>
        <v>97.942965131073876</v>
      </c>
      <c r="R116">
        <f t="shared" ca="1" si="53"/>
        <v>476.63326935107642</v>
      </c>
      <c r="S116">
        <f t="shared" ca="1" si="54"/>
        <v>618.97356923864459</v>
      </c>
      <c r="T116">
        <f t="shared" ca="1" si="64"/>
        <v>21.6914694415482</v>
      </c>
      <c r="U116">
        <f t="shared" ca="1" si="65"/>
        <v>72.634917905333637</v>
      </c>
      <c r="V116">
        <f t="shared" ca="1" si="66"/>
        <v>94.32638734688183</v>
      </c>
      <c r="W116">
        <f t="shared" si="55"/>
        <v>1.2845077732912835</v>
      </c>
      <c r="X116">
        <f t="shared" ca="1" si="56"/>
        <v>1.1573439978740416</v>
      </c>
      <c r="Y116">
        <f t="shared" si="57"/>
        <v>1.647058823529411</v>
      </c>
    </row>
    <row r="117" spans="1:25" x14ac:dyDescent="0.35">
      <c r="A117">
        <f t="shared" si="58"/>
        <v>1.6638655462184866</v>
      </c>
      <c r="B117">
        <f t="shared" si="43"/>
        <v>1.6638655462184866</v>
      </c>
      <c r="C117">
        <f t="shared" si="59"/>
        <v>6.6554621848739464</v>
      </c>
      <c r="D117">
        <f t="shared" si="44"/>
        <v>7.0368971117858852</v>
      </c>
      <c r="E117">
        <f t="shared" si="45"/>
        <v>4.229246243952125</v>
      </c>
      <c r="F117">
        <f t="shared" si="60"/>
        <v>13.248735735962796</v>
      </c>
      <c r="G117">
        <f t="shared" si="61"/>
        <v>0</v>
      </c>
      <c r="H117">
        <f t="shared" si="62"/>
        <v>0</v>
      </c>
      <c r="I117">
        <f>IF(B117&gt;=$B$11,E117*($Q$14/$Q$13+2/3*SQRT(2*9.8)*(ABS(B117-$B$11))^(3/2)),0)</f>
        <v>6.8125117350548319</v>
      </c>
      <c r="J117">
        <f t="shared" si="46"/>
        <v>6.8125117350548319</v>
      </c>
      <c r="K117">
        <f t="shared" si="47"/>
        <v>6.8125117350548319</v>
      </c>
      <c r="L117">
        <f t="shared" ca="1" si="63"/>
        <v>1.1817808288363292</v>
      </c>
      <c r="M117">
        <f t="shared" ca="1" si="48"/>
        <v>4.2932118548101625</v>
      </c>
      <c r="N117">
        <f t="shared" si="49"/>
        <v>6.6417682248381213</v>
      </c>
      <c r="O117">
        <f t="shared" ca="1" si="50"/>
        <v>2.7006428139286762</v>
      </c>
      <c r="P117">
        <f t="shared" ca="1" si="51"/>
        <v>139.73815477093171</v>
      </c>
      <c r="Q117">
        <f t="shared" ca="1" si="52"/>
        <v>96.416943476431484</v>
      </c>
      <c r="R117">
        <f t="shared" ca="1" si="53"/>
        <v>481.89594568861617</v>
      </c>
      <c r="S117">
        <f t="shared" ca="1" si="54"/>
        <v>621.63410045954788</v>
      </c>
      <c r="T117">
        <f t="shared" ca="1" si="64"/>
        <v>20.511987385194136</v>
      </c>
      <c r="U117">
        <f t="shared" ca="1" si="65"/>
        <v>70.736897700879709</v>
      </c>
      <c r="V117">
        <f t="shared" ca="1" si="66"/>
        <v>91.248885086073841</v>
      </c>
      <c r="W117">
        <f t="shared" si="55"/>
        <v>1.3335370829352569</v>
      </c>
      <c r="X117">
        <f t="shared" ca="1" si="56"/>
        <v>1.1817808288363292</v>
      </c>
      <c r="Y117">
        <f t="shared" si="57"/>
        <v>1.6638655462184866</v>
      </c>
    </row>
    <row r="118" spans="1:25" x14ac:dyDescent="0.35">
      <c r="A118">
        <f t="shared" si="58"/>
        <v>1.6806722689075622</v>
      </c>
      <c r="B118">
        <f t="shared" si="43"/>
        <v>1.6806722689075622</v>
      </c>
      <c r="C118">
        <f t="shared" ref="C118:C137" si="67">2*MIN(B118,$B$5)/$Q$5+$B$6+(B118&gt;$B$5)*(2*(B118-$B$5)/$Q$6)</f>
        <v>6.7226890756302486</v>
      </c>
      <c r="D118">
        <f t="shared" ref="D118:D136" si="68">MIN(B118,$B$5)^2/$Q$5+$B$6*MIN(B118,$B$5)+(B118&gt;$B$5)*((B118-$B$5)^2/$Q$6+$B$7*(B118-$B$5))</f>
        <v>7.1493185509497863</v>
      </c>
      <c r="E118">
        <f t="shared" ref="E118:E136" si="69">IFERROR(D118/B118,$B$6)</f>
        <v>4.2538445378151248</v>
      </c>
      <c r="F118">
        <f t="shared" si="60"/>
        <v>13.528208479140204</v>
      </c>
      <c r="G118">
        <f t="shared" ref="G118:G136" si="70">IF(B118&lt;$B$10,F118,0)</f>
        <v>0</v>
      </c>
      <c r="H118">
        <f t="shared" si="62"/>
        <v>0</v>
      </c>
      <c r="I118">
        <f t="shared" ref="I118:I136" si="71">IF(B118&gt;=$B$11,E118*($Q$14/$Q$13+2/3*SQRT(2*9.8)*(ABS(B118-$B$11))^(3/2)),0)</f>
        <v>7.06964611392997</v>
      </c>
      <c r="J118">
        <f t="shared" ref="J118:J136" si="72">SUM(G118:I118)</f>
        <v>7.06964611392997</v>
      </c>
      <c r="K118">
        <f t="shared" ref="K118:K136" si="73">MIN(J118,F118)</f>
        <v>7.06964611392997</v>
      </c>
      <c r="L118">
        <f t="shared" ca="1" si="63"/>
        <v>1.2062206953038328</v>
      </c>
      <c r="M118">
        <f t="shared" ca="1" si="48"/>
        <v>4.4099367315585241</v>
      </c>
      <c r="N118">
        <f t="shared" si="49"/>
        <v>6.8297686845375729</v>
      </c>
      <c r="O118">
        <f t="shared" ca="1" si="50"/>
        <v>2.8400172717537902</v>
      </c>
      <c r="P118">
        <f t="shared" ca="1" si="51"/>
        <v>137.09047397899513</v>
      </c>
      <c r="Q118">
        <f t="shared" ca="1" si="52"/>
        <v>94.890314720745863</v>
      </c>
      <c r="R118">
        <f t="shared" ca="1" si="53"/>
        <v>486.88935160226589</v>
      </c>
      <c r="S118">
        <f t="shared" ca="1" si="54"/>
        <v>623.97982558126103</v>
      </c>
      <c r="T118">
        <f t="shared" ca="1" si="64"/>
        <v>19.391419566090196</v>
      </c>
      <c r="U118">
        <f t="shared" ca="1" si="65"/>
        <v>68.870399416868025</v>
      </c>
      <c r="V118">
        <f t="shared" ca="1" si="66"/>
        <v>88.261818982958218</v>
      </c>
      <c r="W118">
        <f t="shared" si="55"/>
        <v>1.383870681300025</v>
      </c>
      <c r="X118">
        <f t="shared" ca="1" si="56"/>
        <v>1.2062206953038328</v>
      </c>
      <c r="Y118">
        <f t="shared" si="57"/>
        <v>1.6806722689075622</v>
      </c>
    </row>
    <row r="119" spans="1:25" x14ac:dyDescent="0.35">
      <c r="A119">
        <f t="shared" si="58"/>
        <v>1.6974789915966377</v>
      </c>
      <c r="B119">
        <f t="shared" si="43"/>
        <v>1.6974789915966377</v>
      </c>
      <c r="C119">
        <f t="shared" si="67"/>
        <v>6.7899159663865509</v>
      </c>
      <c r="D119">
        <f t="shared" si="68"/>
        <v>7.2628698538238758</v>
      </c>
      <c r="E119">
        <f t="shared" si="69"/>
        <v>4.2786213495299092</v>
      </c>
      <c r="F119">
        <f t="shared" si="60"/>
        <v>13.811618947443458</v>
      </c>
      <c r="G119">
        <f t="shared" si="70"/>
        <v>0</v>
      </c>
      <c r="H119">
        <f t="shared" si="62"/>
        <v>0</v>
      </c>
      <c r="I119">
        <f t="shared" si="71"/>
        <v>7.3334608856196146</v>
      </c>
      <c r="J119">
        <f t="shared" si="72"/>
        <v>7.3334608856196146</v>
      </c>
      <c r="K119">
        <f t="shared" si="73"/>
        <v>7.3334608856196146</v>
      </c>
      <c r="L119">
        <f t="shared" ca="1" si="63"/>
        <v>1.230632032784269</v>
      </c>
      <c r="M119">
        <f t="shared" ca="1" si="48"/>
        <v>4.5289104002294849</v>
      </c>
      <c r="N119">
        <f t="shared" si="49"/>
        <v>7.0215670054477437</v>
      </c>
      <c r="O119">
        <f t="shared" ca="1" si="50"/>
        <v>2.9849827753038829</v>
      </c>
      <c r="P119">
        <f t="shared" ca="1" si="51"/>
        <v>134.41723004344519</v>
      </c>
      <c r="Q119">
        <f t="shared" ca="1" si="52"/>
        <v>93.36939176247374</v>
      </c>
      <c r="R119">
        <f t="shared" ca="1" si="53"/>
        <v>491.62798798826714</v>
      </c>
      <c r="S119">
        <f t="shared" ca="1" si="54"/>
        <v>626.04521803171235</v>
      </c>
      <c r="T119">
        <f t="shared" ca="1" si="64"/>
        <v>18.329303468029348</v>
      </c>
      <c r="U119">
        <f t="shared" ca="1" si="65"/>
        <v>67.039014137555981</v>
      </c>
      <c r="V119">
        <f t="shared" ca="1" si="66"/>
        <v>85.368317605585332</v>
      </c>
      <c r="W119">
        <f t="shared" si="55"/>
        <v>1.435511954703484</v>
      </c>
      <c r="X119">
        <f t="shared" ca="1" si="56"/>
        <v>1.230632032784269</v>
      </c>
      <c r="Y119">
        <f t="shared" si="57"/>
        <v>1.6974789915966377</v>
      </c>
    </row>
    <row r="120" spans="1:25" x14ac:dyDescent="0.35">
      <c r="A120">
        <f t="shared" si="58"/>
        <v>1.7142857142857133</v>
      </c>
      <c r="B120">
        <f t="shared" si="43"/>
        <v>1.7142857142857133</v>
      </c>
      <c r="C120">
        <f t="shared" si="67"/>
        <v>6.8571428571428532</v>
      </c>
      <c r="D120">
        <f t="shared" si="68"/>
        <v>7.3775510204081565</v>
      </c>
      <c r="E120">
        <f t="shared" si="69"/>
        <v>4.303571428571427</v>
      </c>
      <c r="F120">
        <f t="shared" si="60"/>
        <v>14.098988185917786</v>
      </c>
      <c r="G120">
        <f t="shared" si="70"/>
        <v>0</v>
      </c>
      <c r="H120">
        <f t="shared" si="62"/>
        <v>0</v>
      </c>
      <c r="I120">
        <f t="shared" si="71"/>
        <v>7.6039755322361806</v>
      </c>
      <c r="J120">
        <f t="shared" si="72"/>
        <v>7.6039755322361806</v>
      </c>
      <c r="K120">
        <f t="shared" si="73"/>
        <v>7.6039755322361806</v>
      </c>
      <c r="L120">
        <f t="shared" ca="1" si="63"/>
        <v>1.2550094162614047</v>
      </c>
      <c r="M120">
        <f t="shared" ca="1" si="48"/>
        <v>4.6500972698095833</v>
      </c>
      <c r="N120">
        <f t="shared" si="49"/>
        <v>7.2172011661807467</v>
      </c>
      <c r="O120">
        <f t="shared" ca="1" si="50"/>
        <v>3.1356011571669136</v>
      </c>
      <c r="P120">
        <f t="shared" ca="1" si="51"/>
        <v>131.72397391902777</v>
      </c>
      <c r="Q120">
        <f t="shared" ca="1" si="52"/>
        <v>91.855259604861715</v>
      </c>
      <c r="R120">
        <f t="shared" ca="1" si="53"/>
        <v>496.11233915489601</v>
      </c>
      <c r="S120">
        <f t="shared" ca="1" si="54"/>
        <v>627.83631307392375</v>
      </c>
      <c r="T120">
        <f t="shared" ca="1" si="64"/>
        <v>17.323040212399306</v>
      </c>
      <c r="U120">
        <f t="shared" ca="1" si="65"/>
        <v>65.243810563524931</v>
      </c>
      <c r="V120">
        <f t="shared" ca="1" si="66"/>
        <v>82.566850775924223</v>
      </c>
      <c r="W120">
        <f t="shared" si="55"/>
        <v>1.4884647167345668</v>
      </c>
      <c r="X120">
        <f t="shared" ca="1" si="56"/>
        <v>1.2550094162614047</v>
      </c>
      <c r="Y120">
        <f t="shared" si="57"/>
        <v>1.7142857142857133</v>
      </c>
    </row>
    <row r="121" spans="1:25" x14ac:dyDescent="0.35">
      <c r="A121">
        <f t="shared" si="58"/>
        <v>1.7310924369747889</v>
      </c>
      <c r="B121">
        <f t="shared" si="43"/>
        <v>1.7310924369747889</v>
      </c>
      <c r="C121">
        <f t="shared" si="67"/>
        <v>6.9243697478991555</v>
      </c>
      <c r="D121">
        <f t="shared" si="68"/>
        <v>7.4933620507026273</v>
      </c>
      <c r="E121">
        <f t="shared" si="69"/>
        <v>4.3286897283185102</v>
      </c>
      <c r="F121">
        <f t="shared" si="60"/>
        <v>14.390337115164225</v>
      </c>
      <c r="G121">
        <f t="shared" si="70"/>
        <v>0</v>
      </c>
      <c r="H121">
        <f t="shared" si="62"/>
        <v>0</v>
      </c>
      <c r="I121">
        <f t="shared" si="71"/>
        <v>7.8812114884410187</v>
      </c>
      <c r="J121">
        <f t="shared" si="72"/>
        <v>7.8812114884410187</v>
      </c>
      <c r="K121">
        <f t="shared" si="73"/>
        <v>7.8812114884410187</v>
      </c>
      <c r="L121">
        <f t="shared" ca="1" si="63"/>
        <v>1.2793808649937009</v>
      </c>
      <c r="M121">
        <f t="shared" ca="1" si="48"/>
        <v>4.7736307954240607</v>
      </c>
      <c r="N121">
        <f t="shared" si="49"/>
        <v>7.416709145348686</v>
      </c>
      <c r="O121">
        <f t="shared" ca="1" si="50"/>
        <v>3.2921470658131007</v>
      </c>
      <c r="P121">
        <f t="shared" ca="1" si="51"/>
        <v>128.99799072137776</v>
      </c>
      <c r="Q121">
        <f t="shared" ca="1" si="52"/>
        <v>90.342314396217603</v>
      </c>
      <c r="R121">
        <f t="shared" ca="1" si="53"/>
        <v>500.31960458185125</v>
      </c>
      <c r="S121">
        <f t="shared" ca="1" si="54"/>
        <v>629.31759530322904</v>
      </c>
      <c r="T121">
        <f t="shared" ca="1" si="64"/>
        <v>16.367786971656923</v>
      </c>
      <c r="U121">
        <f t="shared" ca="1" si="65"/>
        <v>63.482575656755962</v>
      </c>
      <c r="V121">
        <f t="shared" ca="1" si="66"/>
        <v>79.850362628412896</v>
      </c>
      <c r="W121">
        <f t="shared" si="55"/>
        <v>1.5427331631901957</v>
      </c>
      <c r="X121">
        <f t="shared" ca="1" si="56"/>
        <v>1.2793808649937009</v>
      </c>
      <c r="Y121">
        <f t="shared" si="57"/>
        <v>1.7310924369747889</v>
      </c>
    </row>
    <row r="122" spans="1:25" x14ac:dyDescent="0.35">
      <c r="A122">
        <f t="shared" si="58"/>
        <v>1.7478991596638644</v>
      </c>
      <c r="B122">
        <f t="shared" si="43"/>
        <v>1.7478991596638644</v>
      </c>
      <c r="C122">
        <f t="shared" si="67"/>
        <v>6.9915966386554578</v>
      </c>
      <c r="D122">
        <f t="shared" si="68"/>
        <v>7.6103029447072874</v>
      </c>
      <c r="E122">
        <f t="shared" si="69"/>
        <v>4.3539713962508069</v>
      </c>
      <c r="F122">
        <f t="shared" si="60"/>
        <v>14.685686533659663</v>
      </c>
      <c r="G122">
        <f t="shared" si="70"/>
        <v>0</v>
      </c>
      <c r="H122">
        <f t="shared" si="62"/>
        <v>0</v>
      </c>
      <c r="I122">
        <f t="shared" si="71"/>
        <v>8.1651919383648437</v>
      </c>
      <c r="J122">
        <f t="shared" si="72"/>
        <v>8.1651919383648437</v>
      </c>
      <c r="K122">
        <f t="shared" si="73"/>
        <v>8.1651919383648437</v>
      </c>
      <c r="L122">
        <f t="shared" ca="1" si="63"/>
        <v>1.3036840368168638</v>
      </c>
      <c r="M122">
        <f t="shared" ca="1" si="48"/>
        <v>4.8991841357022281</v>
      </c>
      <c r="N122">
        <f t="shared" si="49"/>
        <v>7.6201289215636692</v>
      </c>
      <c r="O122">
        <f t="shared" ca="1" si="50"/>
        <v>3.4543080639440817</v>
      </c>
      <c r="P122">
        <f t="shared" ca="1" si="51"/>
        <v>126.27570888114886</v>
      </c>
      <c r="Q122">
        <f t="shared" ca="1" si="52"/>
        <v>88.843024569400114</v>
      </c>
      <c r="R122">
        <f t="shared" ca="1" si="53"/>
        <v>504.29104312735046</v>
      </c>
      <c r="S122">
        <f t="shared" ca="1" si="54"/>
        <v>630.56675200849929</v>
      </c>
      <c r="T122">
        <f t="shared" ca="1" si="64"/>
        <v>15.46512437605193</v>
      </c>
      <c r="U122">
        <f t="shared" ca="1" si="65"/>
        <v>61.761076400163532</v>
      </c>
      <c r="V122">
        <f t="shared" ca="1" si="66"/>
        <v>77.226200776215464</v>
      </c>
      <c r="W122">
        <f t="shared" si="55"/>
        <v>1.5983218323228165</v>
      </c>
      <c r="X122">
        <f t="shared" ca="1" si="56"/>
        <v>1.3036840368168638</v>
      </c>
      <c r="Y122">
        <f t="shared" si="57"/>
        <v>1.7478991596638644</v>
      </c>
    </row>
    <row r="123" spans="1:25" x14ac:dyDescent="0.35">
      <c r="A123">
        <f t="shared" si="58"/>
        <v>1.76470588235294</v>
      </c>
      <c r="B123">
        <f t="shared" si="43"/>
        <v>1.76470588235294</v>
      </c>
      <c r="C123">
        <f t="shared" si="67"/>
        <v>7.0588235294117601</v>
      </c>
      <c r="D123">
        <f t="shared" si="68"/>
        <v>7.7283737024221368</v>
      </c>
      <c r="E123">
        <f t="shared" si="69"/>
        <v>4.3794117647058801</v>
      </c>
      <c r="F123">
        <f t="shared" si="60"/>
        <v>14.985057120004111</v>
      </c>
      <c r="G123">
        <f t="shared" si="70"/>
        <v>0</v>
      </c>
      <c r="H123">
        <f t="shared" si="62"/>
        <v>0</v>
      </c>
      <c r="I123">
        <f t="shared" si="71"/>
        <v>8.4559416358504365</v>
      </c>
      <c r="J123">
        <f t="shared" si="72"/>
        <v>8.4559416358504365</v>
      </c>
      <c r="K123">
        <f t="shared" si="73"/>
        <v>8.4559416358504365</v>
      </c>
      <c r="L123">
        <f t="shared" ca="1" si="63"/>
        <v>1.3280063984137036</v>
      </c>
      <c r="M123">
        <f t="shared" ca="1" si="48"/>
        <v>5.0272019884554728</v>
      </c>
      <c r="N123">
        <f t="shared" si="49"/>
        <v>7.827498473437803</v>
      </c>
      <c r="O123">
        <f t="shared" ca="1" si="50"/>
        <v>3.6227645394442707</v>
      </c>
      <c r="P123">
        <f t="shared" ca="1" si="51"/>
        <v>123.51212292633846</v>
      </c>
      <c r="Q123">
        <f t="shared" ca="1" si="52"/>
        <v>87.33989678784728</v>
      </c>
      <c r="R123">
        <f t="shared" ca="1" si="53"/>
        <v>507.958956756173</v>
      </c>
      <c r="S123">
        <f t="shared" ca="1" si="54"/>
        <v>631.47107968251146</v>
      </c>
      <c r="T123">
        <f t="shared" ca="1" si="64"/>
        <v>14.606548654816551</v>
      </c>
      <c r="U123">
        <f t="shared" ca="1" si="65"/>
        <v>60.071246779021344</v>
      </c>
      <c r="V123">
        <f t="shared" ca="1" si="66"/>
        <v>74.6777954338379</v>
      </c>
      <c r="W123">
        <f t="shared" si="55"/>
        <v>1.6552355696532264</v>
      </c>
      <c r="X123">
        <f t="shared" ca="1" si="56"/>
        <v>1.3280063984137036</v>
      </c>
      <c r="Y123">
        <f t="shared" si="57"/>
        <v>1.76470588235294</v>
      </c>
    </row>
    <row r="124" spans="1:25" x14ac:dyDescent="0.35">
      <c r="A124">
        <f t="shared" si="58"/>
        <v>1.7815126050420156</v>
      </c>
      <c r="B124">
        <f t="shared" si="43"/>
        <v>1.7815126050420156</v>
      </c>
      <c r="C124">
        <f t="shared" si="67"/>
        <v>7.1260504201680623</v>
      </c>
      <c r="D124">
        <f t="shared" si="68"/>
        <v>7.8475743238471773</v>
      </c>
      <c r="E124">
        <f t="shared" si="69"/>
        <v>4.4050063421595036</v>
      </c>
      <c r="F124">
        <f t="shared" si="60"/>
        <v>15.288469435098527</v>
      </c>
      <c r="G124">
        <f t="shared" si="70"/>
        <v>0</v>
      </c>
      <c r="H124">
        <f t="shared" si="62"/>
        <v>0</v>
      </c>
      <c r="I124">
        <f t="shared" si="71"/>
        <v>8.7534867448374492</v>
      </c>
      <c r="J124">
        <f t="shared" si="72"/>
        <v>8.7534867448374492</v>
      </c>
      <c r="K124">
        <f t="shared" si="73"/>
        <v>8.7534867448374492</v>
      </c>
      <c r="L124">
        <f t="shared" ca="1" si="63"/>
        <v>1.3522277742121385</v>
      </c>
      <c r="M124">
        <f t="shared" ca="1" si="48"/>
        <v>5.1570399067014279</v>
      </c>
      <c r="N124">
        <f t="shared" si="49"/>
        <v>8.0388557795831979</v>
      </c>
      <c r="O124">
        <f t="shared" ca="1" si="50"/>
        <v>3.7967672888292259</v>
      </c>
      <c r="P124">
        <f t="shared" ca="1" si="51"/>
        <v>120.77462488316426</v>
      </c>
      <c r="Q124">
        <f t="shared" ca="1" si="52"/>
        <v>85.856966165975422</v>
      </c>
      <c r="R124">
        <f t="shared" ca="1" si="53"/>
        <v>511.41319392502015</v>
      </c>
      <c r="S124">
        <f t="shared" ca="1" si="54"/>
        <v>632.18781880818437</v>
      </c>
      <c r="T124">
        <f t="shared" ca="1" si="64"/>
        <v>13.797316247082183</v>
      </c>
      <c r="U124">
        <f t="shared" ca="1" si="65"/>
        <v>58.423941091432702</v>
      </c>
      <c r="V124">
        <f t="shared" ca="1" si="66"/>
        <v>72.221257338514889</v>
      </c>
      <c r="W124">
        <f t="shared" si="55"/>
        <v>1.7134794967261828</v>
      </c>
      <c r="X124">
        <f t="shared" ca="1" si="56"/>
        <v>1.3522277742121385</v>
      </c>
      <c r="Y124">
        <f t="shared" si="57"/>
        <v>1.7815126050420156</v>
      </c>
    </row>
    <row r="125" spans="1:25" x14ac:dyDescent="0.35">
      <c r="A125">
        <f t="shared" si="58"/>
        <v>1.7983193277310912</v>
      </c>
      <c r="B125">
        <f t="shared" si="43"/>
        <v>1.7983193277310912</v>
      </c>
      <c r="C125">
        <f t="shared" si="67"/>
        <v>7.1932773109243646</v>
      </c>
      <c r="D125">
        <f t="shared" si="68"/>
        <v>7.9679048089824072</v>
      </c>
      <c r="E125">
        <f t="shared" si="69"/>
        <v>4.4307508049948927</v>
      </c>
      <c r="F125">
        <f t="shared" si="60"/>
        <v>15.595943924255931</v>
      </c>
      <c r="G125">
        <f t="shared" si="70"/>
        <v>0</v>
      </c>
      <c r="H125">
        <f t="shared" si="62"/>
        <v>0</v>
      </c>
      <c r="I125">
        <f t="shared" si="71"/>
        <v>9.0578546972176834</v>
      </c>
      <c r="J125">
        <f t="shared" si="72"/>
        <v>9.0578546972176834</v>
      </c>
      <c r="K125">
        <f t="shared" si="73"/>
        <v>9.0578546972176834</v>
      </c>
      <c r="L125">
        <f t="shared" ca="1" si="63"/>
        <v>1.3764680425092057</v>
      </c>
      <c r="M125">
        <f t="shared" ca="1" si="48"/>
        <v>5.2893285440982494</v>
      </c>
      <c r="N125">
        <f t="shared" si="49"/>
        <v>8.254238818611956</v>
      </c>
      <c r="O125">
        <f t="shared" ca="1" si="50"/>
        <v>3.977259762346117</v>
      </c>
      <c r="P125">
        <f t="shared" ca="1" si="51"/>
        <v>118.00088564582447</v>
      </c>
      <c r="Q125">
        <f t="shared" ca="1" si="52"/>
        <v>84.370257044377084</v>
      </c>
      <c r="R125">
        <f t="shared" ca="1" si="53"/>
        <v>514.55621734859574</v>
      </c>
      <c r="S125">
        <f t="shared" ca="1" si="54"/>
        <v>632.55710299442023</v>
      </c>
      <c r="T125">
        <f t="shared" ca="1" si="64"/>
        <v>13.027465066542854</v>
      </c>
      <c r="U125">
        <f t="shared" ca="1" si="65"/>
        <v>56.807735887687933</v>
      </c>
      <c r="V125">
        <f t="shared" ca="1" si="66"/>
        <v>69.8352009542308</v>
      </c>
      <c r="W125">
        <f t="shared" si="55"/>
        <v>1.7730589832858266</v>
      </c>
      <c r="X125">
        <f t="shared" ca="1" si="56"/>
        <v>1.3764680425092057</v>
      </c>
      <c r="Y125">
        <f t="shared" si="57"/>
        <v>1.7983193277310912</v>
      </c>
    </row>
    <row r="126" spans="1:25" x14ac:dyDescent="0.35">
      <c r="A126">
        <f t="shared" si="58"/>
        <v>1.8151260504201667</v>
      </c>
      <c r="B126">
        <f t="shared" si="43"/>
        <v>1.8151260504201667</v>
      </c>
      <c r="C126">
        <f t="shared" si="67"/>
        <v>7.2605042016806669</v>
      </c>
      <c r="D126">
        <f t="shared" si="68"/>
        <v>8.0893651578278281</v>
      </c>
      <c r="E126">
        <f t="shared" si="69"/>
        <v>4.4566409897292232</v>
      </c>
      <c r="F126">
        <f t="shared" si="60"/>
        <v>15.90750091924887</v>
      </c>
      <c r="G126">
        <f t="shared" si="70"/>
        <v>0</v>
      </c>
      <c r="H126">
        <f t="shared" si="62"/>
        <v>0</v>
      </c>
      <c r="I126">
        <f t="shared" si="71"/>
        <v>9.3690740659047016</v>
      </c>
      <c r="J126">
        <f t="shared" si="72"/>
        <v>9.3690740659047016</v>
      </c>
      <c r="K126">
        <f t="shared" si="73"/>
        <v>9.3690740659047016</v>
      </c>
      <c r="L126">
        <f t="shared" ca="1" si="63"/>
        <v>1.4006306502295829</v>
      </c>
      <c r="M126">
        <f t="shared" ca="1" si="48"/>
        <v>5.4235324367250879</v>
      </c>
      <c r="N126">
        <f t="shared" si="49"/>
        <v>8.4736855691361885</v>
      </c>
      <c r="O126">
        <f t="shared" ca="1" si="50"/>
        <v>4.1636131920314128</v>
      </c>
      <c r="P126">
        <f t="shared" ca="1" si="51"/>
        <v>115.24507190866933</v>
      </c>
      <c r="Q126">
        <f t="shared" ca="1" si="52"/>
        <v>82.899080038116765</v>
      </c>
      <c r="R126">
        <f t="shared" ca="1" si="53"/>
        <v>517.46500798646366</v>
      </c>
      <c r="S126">
        <f t="shared" ca="1" si="54"/>
        <v>632.71007989513305</v>
      </c>
      <c r="T126">
        <f t="shared" ca="1" si="64"/>
        <v>12.300582864219354</v>
      </c>
      <c r="U126">
        <f t="shared" ca="1" si="65"/>
        <v>55.231179126823982</v>
      </c>
      <c r="V126">
        <f t="shared" ca="1" si="66"/>
        <v>67.531761991043339</v>
      </c>
      <c r="W126">
        <f t="shared" si="55"/>
        <v>1.8339796224292833</v>
      </c>
      <c r="X126">
        <f t="shared" ca="1" si="56"/>
        <v>1.4006306502295829</v>
      </c>
      <c r="Y126">
        <f t="shared" si="57"/>
        <v>1.8151260504201667</v>
      </c>
    </row>
    <row r="127" spans="1:25" x14ac:dyDescent="0.35">
      <c r="A127">
        <f t="shared" si="58"/>
        <v>1.8319327731092423</v>
      </c>
      <c r="B127">
        <f t="shared" si="43"/>
        <v>1.8319327731092423</v>
      </c>
      <c r="C127">
        <f t="shared" si="67"/>
        <v>7.3277310924369692</v>
      </c>
      <c r="D127">
        <f t="shared" si="68"/>
        <v>8.2119553703834374</v>
      </c>
      <c r="E127">
        <f t="shared" si="69"/>
        <v>4.4826728856680269</v>
      </c>
      <c r="F127">
        <f t="shared" si="60"/>
        <v>16.22316064029571</v>
      </c>
      <c r="G127">
        <f t="shared" si="70"/>
        <v>0</v>
      </c>
      <c r="H127">
        <f t="shared" si="62"/>
        <v>0</v>
      </c>
      <c r="I127">
        <f t="shared" si="71"/>
        <v>9.6871744512026297</v>
      </c>
      <c r="J127">
        <f t="shared" si="72"/>
        <v>9.6871744512026297</v>
      </c>
      <c r="K127">
        <f t="shared" si="73"/>
        <v>9.6871744512026297</v>
      </c>
      <c r="L127">
        <f t="shared" ca="1" si="63"/>
        <v>1.4247808836080318</v>
      </c>
      <c r="M127">
        <f t="shared" ca="1" si="48"/>
        <v>5.5600011325897682</v>
      </c>
      <c r="N127">
        <f t="shared" si="49"/>
        <v>8.6972340097680014</v>
      </c>
      <c r="O127">
        <f t="shared" ca="1" si="50"/>
        <v>4.3564080007605721</v>
      </c>
      <c r="P127">
        <f t="shared" ca="1" si="51"/>
        <v>112.47446135914024</v>
      </c>
      <c r="Q127">
        <f t="shared" ca="1" si="52"/>
        <v>81.430377900242107</v>
      </c>
      <c r="R127">
        <f t="shared" ca="1" si="53"/>
        <v>520.0817064687642</v>
      </c>
      <c r="S127">
        <f t="shared" ca="1" si="54"/>
        <v>632.55616782790446</v>
      </c>
      <c r="T127">
        <f t="shared" ca="1" si="64"/>
        <v>11.610657155573049</v>
      </c>
      <c r="U127">
        <f t="shared" ca="1" si="65"/>
        <v>53.687657746702172</v>
      </c>
      <c r="V127">
        <f t="shared" ca="1" si="66"/>
        <v>65.298314902275223</v>
      </c>
      <c r="W127">
        <f t="shared" si="55"/>
        <v>1.8962472083635578</v>
      </c>
      <c r="X127">
        <f t="shared" ca="1" si="56"/>
        <v>1.4247808836080318</v>
      </c>
      <c r="Y127">
        <f t="shared" si="57"/>
        <v>1.8319327731092423</v>
      </c>
    </row>
    <row r="128" spans="1:25" x14ac:dyDescent="0.35">
      <c r="A128">
        <f t="shared" si="58"/>
        <v>1.8487394957983179</v>
      </c>
      <c r="B128">
        <f t="shared" si="43"/>
        <v>1.8487394957983179</v>
      </c>
      <c r="C128">
        <f t="shared" si="67"/>
        <v>7.3949579831932715</v>
      </c>
      <c r="D128">
        <f t="shared" si="68"/>
        <v>8.3356754466492369</v>
      </c>
      <c r="E128">
        <f t="shared" si="69"/>
        <v>4.5088426279602727</v>
      </c>
      <c r="F128">
        <f t="shared" si="60"/>
        <v>16.542943197988382</v>
      </c>
      <c r="G128">
        <f t="shared" si="70"/>
        <v>0</v>
      </c>
      <c r="H128">
        <f t="shared" si="62"/>
        <v>0</v>
      </c>
      <c r="I128">
        <f t="shared" si="71"/>
        <v>10.012186378841253</v>
      </c>
      <c r="J128">
        <f t="shared" si="72"/>
        <v>10.012186378841253</v>
      </c>
      <c r="K128">
        <f t="shared" si="73"/>
        <v>10.012186378841253</v>
      </c>
      <c r="L128">
        <f t="shared" ca="1" si="63"/>
        <v>1.4488876254804217</v>
      </c>
      <c r="M128">
        <f t="shared" ca="1" si="48"/>
        <v>5.6985507025405902</v>
      </c>
      <c r="N128">
        <f t="shared" si="49"/>
        <v>8.9249221191195005</v>
      </c>
      <c r="O128">
        <f t="shared" ca="1" si="50"/>
        <v>4.5554854385754604</v>
      </c>
      <c r="P128">
        <f t="shared" ca="1" si="51"/>
        <v>109.70785439135966</v>
      </c>
      <c r="Q128">
        <f t="shared" ca="1" si="52"/>
        <v>79.970374063579229</v>
      </c>
      <c r="R128">
        <f t="shared" ca="1" si="53"/>
        <v>522.43096260745722</v>
      </c>
      <c r="S128">
        <f t="shared" ca="1" si="54"/>
        <v>632.13881699881688</v>
      </c>
      <c r="T128">
        <f t="shared" ca="1" si="64"/>
        <v>10.957432297026072</v>
      </c>
      <c r="U128">
        <f t="shared" ca="1" si="65"/>
        <v>52.179508335113518</v>
      </c>
      <c r="V128">
        <f t="shared" ca="1" si="66"/>
        <v>63.136940632139591</v>
      </c>
      <c r="W128">
        <f t="shared" si="55"/>
        <v>1.959867716446086</v>
      </c>
      <c r="X128">
        <f t="shared" ca="1" si="56"/>
        <v>1.4488876254804217</v>
      </c>
      <c r="Y128">
        <f t="shared" si="57"/>
        <v>1.8487394957983179</v>
      </c>
    </row>
    <row r="129" spans="1:25" x14ac:dyDescent="0.35">
      <c r="A129">
        <f t="shared" si="58"/>
        <v>1.8655462184873934</v>
      </c>
      <c r="B129">
        <f t="shared" si="43"/>
        <v>1.8655462184873934</v>
      </c>
      <c r="C129">
        <f t="shared" si="67"/>
        <v>7.4621848739495737</v>
      </c>
      <c r="D129">
        <f t="shared" si="68"/>
        <v>8.4605253866252266</v>
      </c>
      <c r="E129">
        <f t="shared" si="69"/>
        <v>4.5351464910288417</v>
      </c>
      <c r="F129">
        <f t="shared" si="60"/>
        <v>16.866868595163936</v>
      </c>
      <c r="G129">
        <f t="shared" si="70"/>
        <v>0</v>
      </c>
      <c r="H129">
        <f t="shared" si="62"/>
        <v>0</v>
      </c>
      <c r="I129">
        <f t="shared" si="71"/>
        <v>10.344141208278653</v>
      </c>
      <c r="J129">
        <f t="shared" si="72"/>
        <v>10.344141208278653</v>
      </c>
      <c r="K129">
        <f t="shared" si="73"/>
        <v>10.344141208278653</v>
      </c>
      <c r="L129">
        <f t="shared" ca="1" si="63"/>
        <v>1.4729465363610537</v>
      </c>
      <c r="M129">
        <f t="shared" ca="1" si="48"/>
        <v>5.8391429979560492</v>
      </c>
      <c r="N129">
        <f t="shared" si="49"/>
        <v>9.1567878758027952</v>
      </c>
      <c r="O129">
        <f t="shared" ca="1" si="50"/>
        <v>4.7608837664097878</v>
      </c>
      <c r="P129">
        <f t="shared" ca="1" si="51"/>
        <v>106.94959990497539</v>
      </c>
      <c r="Q129">
        <f t="shared" ca="1" si="52"/>
        <v>78.519936425267957</v>
      </c>
      <c r="R129">
        <f t="shared" ca="1" si="53"/>
        <v>524.51539867960389</v>
      </c>
      <c r="S129">
        <f t="shared" ca="1" si="54"/>
        <v>631.46499858457923</v>
      </c>
      <c r="T129">
        <f t="shared" ca="1" si="64"/>
        <v>10.339147325191304</v>
      </c>
      <c r="U129">
        <f t="shared" ca="1" si="65"/>
        <v>50.706519576494394</v>
      </c>
      <c r="V129">
        <f t="shared" ca="1" si="66"/>
        <v>61.045666901685692</v>
      </c>
      <c r="W129">
        <f t="shared" si="55"/>
        <v>2.0248472852351385</v>
      </c>
      <c r="X129">
        <f t="shared" ca="1" si="56"/>
        <v>1.4729465363610537</v>
      </c>
      <c r="Y129">
        <f t="shared" si="57"/>
        <v>1.8655462184873934</v>
      </c>
    </row>
    <row r="130" spans="1:25" x14ac:dyDescent="0.35">
      <c r="A130">
        <f t="shared" si="58"/>
        <v>1.882352941176469</v>
      </c>
      <c r="B130">
        <f t="shared" si="43"/>
        <v>1.882352941176469</v>
      </c>
      <c r="C130">
        <f t="shared" si="67"/>
        <v>7.529411764705876</v>
      </c>
      <c r="D130">
        <f t="shared" si="68"/>
        <v>8.5865051903114065</v>
      </c>
      <c r="E130">
        <f t="shared" si="69"/>
        <v>4.5615808823529385</v>
      </c>
      <c r="F130">
        <f t="shared" si="60"/>
        <v>17.194956728722183</v>
      </c>
      <c r="G130">
        <f t="shared" si="70"/>
        <v>0</v>
      </c>
      <c r="H130">
        <f t="shared" si="62"/>
        <v>0</v>
      </c>
      <c r="I130">
        <f t="shared" si="71"/>
        <v>10.683071050068449</v>
      </c>
      <c r="J130">
        <f t="shared" si="72"/>
        <v>10.683071050068449</v>
      </c>
      <c r="K130">
        <f t="shared" si="73"/>
        <v>10.683071050068449</v>
      </c>
      <c r="L130">
        <f t="shared" ca="1" si="63"/>
        <v>1.4969972225143222</v>
      </c>
      <c r="M130">
        <f t="shared" ca="1" si="48"/>
        <v>5.9820013684311899</v>
      </c>
      <c r="N130">
        <f t="shared" si="49"/>
        <v>9.3928692584299931</v>
      </c>
      <c r="O130">
        <f t="shared" ca="1" si="50"/>
        <v>4.973029066564588</v>
      </c>
      <c r="P130">
        <f t="shared" ca="1" si="51"/>
        <v>104.18104089655679</v>
      </c>
      <c r="Q130">
        <f t="shared" ca="1" si="52"/>
        <v>77.071143732429363</v>
      </c>
      <c r="R130">
        <f t="shared" ca="1" si="53"/>
        <v>526.29370850865484</v>
      </c>
      <c r="S130">
        <f t="shared" ca="1" si="54"/>
        <v>630.4747494052117</v>
      </c>
      <c r="T130">
        <f t="shared" ca="1" si="64"/>
        <v>9.7519749151054533</v>
      </c>
      <c r="U130">
        <f t="shared" ca="1" si="65"/>
        <v>49.264271111000689</v>
      </c>
      <c r="V130">
        <f t="shared" ca="1" si="66"/>
        <v>59.016246026106145</v>
      </c>
      <c r="W130">
        <f t="shared" si="55"/>
        <v>2.0911922003146035</v>
      </c>
      <c r="X130">
        <f t="shared" ca="1" si="56"/>
        <v>1.4969972225143222</v>
      </c>
      <c r="Y130">
        <f t="shared" si="57"/>
        <v>1.882352941176469</v>
      </c>
    </row>
    <row r="131" spans="1:25" x14ac:dyDescent="0.35">
      <c r="A131">
        <f t="shared" si="58"/>
        <v>1.8991596638655446</v>
      </c>
      <c r="B131">
        <f t="shared" si="43"/>
        <v>1.8991596638655446</v>
      </c>
      <c r="C131">
        <f t="shared" si="67"/>
        <v>7.5966386554621783</v>
      </c>
      <c r="D131">
        <f t="shared" si="68"/>
        <v>8.7136148577077766</v>
      </c>
      <c r="E131">
        <f t="shared" si="69"/>
        <v>4.5881423365806473</v>
      </c>
      <c r="F131">
        <f t="shared" si="60"/>
        <v>17.527227391391555</v>
      </c>
      <c r="G131">
        <f t="shared" si="70"/>
        <v>0</v>
      </c>
      <c r="H131">
        <f t="shared" si="62"/>
        <v>0</v>
      </c>
      <c r="I131">
        <f t="shared" si="71"/>
        <v>11.029008691253024</v>
      </c>
      <c r="J131">
        <f t="shared" si="72"/>
        <v>11.029008691253024</v>
      </c>
      <c r="K131">
        <f t="shared" si="73"/>
        <v>11.029008691253024</v>
      </c>
      <c r="L131">
        <f t="shared" ca="1" si="63"/>
        <v>1.5209649296983165</v>
      </c>
      <c r="M131">
        <f t="shared" ca="1" si="48"/>
        <v>6.1266686347444104</v>
      </c>
      <c r="N131">
        <f t="shared" si="49"/>
        <v>9.6332042456131983</v>
      </c>
      <c r="O131">
        <f t="shared" ca="1" si="50"/>
        <v>5.1913338231876258</v>
      </c>
      <c r="P131">
        <f t="shared" ca="1" si="51"/>
        <v>101.44318845655418</v>
      </c>
      <c r="Q131">
        <f t="shared" ca="1" si="52"/>
        <v>75.638946833445601</v>
      </c>
      <c r="R131">
        <f t="shared" ca="1" si="53"/>
        <v>527.83909785428182</v>
      </c>
      <c r="S131">
        <f t="shared" ca="1" si="54"/>
        <v>629.28228631083596</v>
      </c>
      <c r="T131">
        <f t="shared" ca="1" si="64"/>
        <v>9.1978518918937446</v>
      </c>
      <c r="U131">
        <f t="shared" ca="1" si="65"/>
        <v>47.859160567432028</v>
      </c>
      <c r="V131">
        <f t="shared" ca="1" si="66"/>
        <v>57.057012459325769</v>
      </c>
      <c r="W131">
        <f t="shared" si="55"/>
        <v>2.1589088796898452</v>
      </c>
      <c r="X131">
        <f t="shared" ca="1" si="56"/>
        <v>1.5209649296983165</v>
      </c>
      <c r="Y131">
        <f t="shared" si="57"/>
        <v>1.8991596638655446</v>
      </c>
    </row>
    <row r="132" spans="1:25" x14ac:dyDescent="0.35">
      <c r="A132">
        <f t="shared" si="58"/>
        <v>1.9159663865546201</v>
      </c>
      <c r="B132">
        <f t="shared" si="43"/>
        <v>1.9159663865546201</v>
      </c>
      <c r="C132">
        <f t="shared" si="67"/>
        <v>7.6638655462184806</v>
      </c>
      <c r="D132">
        <f t="shared" si="68"/>
        <v>8.8418543888143368</v>
      </c>
      <c r="E132">
        <f t="shared" si="69"/>
        <v>4.6148275099513469</v>
      </c>
      <c r="F132">
        <f t="shared" si="60"/>
        <v>17.863700273445303</v>
      </c>
      <c r="G132">
        <f t="shared" si="70"/>
        <v>0</v>
      </c>
      <c r="H132">
        <f t="shared" si="62"/>
        <v>0</v>
      </c>
      <c r="I132">
        <f t="shared" si="71"/>
        <v>11.381987527882629</v>
      </c>
      <c r="J132">
        <f t="shared" si="72"/>
        <v>11.381987527882629</v>
      </c>
      <c r="K132">
        <f t="shared" si="73"/>
        <v>11.381987527882629</v>
      </c>
      <c r="L132">
        <f t="shared" ca="1" si="63"/>
        <v>1.5449414684581328</v>
      </c>
      <c r="M132">
        <f t="shared" ca="1" si="48"/>
        <v>6.2736882819231443</v>
      </c>
      <c r="N132">
        <f t="shared" si="49"/>
        <v>9.8778308159645221</v>
      </c>
      <c r="O132">
        <f t="shared" ca="1" si="50"/>
        <v>5.4167126561571486</v>
      </c>
      <c r="P132">
        <f t="shared" ca="1" si="51"/>
        <v>98.690368676497627</v>
      </c>
      <c r="Q132">
        <f t="shared" ca="1" si="52"/>
        <v>74.204983619297465</v>
      </c>
      <c r="R132">
        <f t="shared" ca="1" si="53"/>
        <v>529.05469993443137</v>
      </c>
      <c r="S132">
        <f t="shared" ca="1" si="54"/>
        <v>627.74506861092902</v>
      </c>
      <c r="T132">
        <f t="shared" ca="1" si="64"/>
        <v>8.6707500280363448</v>
      </c>
      <c r="U132">
        <f t="shared" ca="1" si="65"/>
        <v>46.481750101939397</v>
      </c>
      <c r="V132">
        <f t="shared" ca="1" si="66"/>
        <v>55.152500129975749</v>
      </c>
      <c r="W132">
        <f t="shared" si="55"/>
        <v>2.2280038605784376</v>
      </c>
      <c r="X132">
        <f t="shared" ca="1" si="56"/>
        <v>1.5449414684581328</v>
      </c>
      <c r="Y132">
        <f t="shared" si="57"/>
        <v>1.9159663865546201</v>
      </c>
    </row>
    <row r="133" spans="1:25" x14ac:dyDescent="0.35">
      <c r="A133">
        <f t="shared" si="58"/>
        <v>1.9327731092436957</v>
      </c>
      <c r="B133">
        <f t="shared" si="43"/>
        <v>1.9327731092436957</v>
      </c>
      <c r="C133">
        <f t="shared" si="67"/>
        <v>7.7310924369747829</v>
      </c>
      <c r="D133">
        <f t="shared" si="68"/>
        <v>8.9712237836310855</v>
      </c>
      <c r="E133">
        <f t="shared" si="69"/>
        <v>4.6416331750091313</v>
      </c>
      <c r="F133">
        <f t="shared" si="60"/>
        <v>18.204394964369843</v>
      </c>
      <c r="G133">
        <f t="shared" si="70"/>
        <v>0</v>
      </c>
      <c r="H133">
        <f t="shared" si="62"/>
        <v>0</v>
      </c>
      <c r="I133">
        <f t="shared" si="71"/>
        <v>11.742041503877656</v>
      </c>
      <c r="J133">
        <f t="shared" si="72"/>
        <v>11.742041503877656</v>
      </c>
      <c r="K133">
        <f t="shared" si="73"/>
        <v>11.742041503877656</v>
      </c>
      <c r="L133">
        <f t="shared" ca="1" si="63"/>
        <v>1.5688381418755801</v>
      </c>
      <c r="M133">
        <f t="shared" ca="1" si="48"/>
        <v>6.4225062308072456</v>
      </c>
      <c r="N133">
        <f t="shared" si="49"/>
        <v>10.126786948096068</v>
      </c>
      <c r="O133">
        <f t="shared" ca="1" si="50"/>
        <v>5.6484103523404032</v>
      </c>
      <c r="P133">
        <f t="shared" ca="1" si="51"/>
        <v>95.970257203567314</v>
      </c>
      <c r="Q133">
        <f t="shared" ca="1" si="52"/>
        <v>72.786993473623113</v>
      </c>
      <c r="R133">
        <f t="shared" ca="1" si="53"/>
        <v>530.03278770195402</v>
      </c>
      <c r="S133">
        <f t="shared" ca="1" si="54"/>
        <v>626.00304490552139</v>
      </c>
      <c r="T133">
        <f t="shared" ca="1" si="64"/>
        <v>8.1732173380475945</v>
      </c>
      <c r="U133">
        <f t="shared" ca="1" si="65"/>
        <v>45.139747421853144</v>
      </c>
      <c r="V133">
        <f t="shared" ca="1" si="66"/>
        <v>53.312964759900737</v>
      </c>
      <c r="W133">
        <f t="shared" si="55"/>
        <v>2.2984837874425614</v>
      </c>
      <c r="X133">
        <f t="shared" ca="1" si="56"/>
        <v>1.5688381418755801</v>
      </c>
      <c r="Y133">
        <f t="shared" si="57"/>
        <v>1.9327731092436957</v>
      </c>
    </row>
    <row r="134" spans="1:25" x14ac:dyDescent="0.35">
      <c r="A134">
        <f t="shared" si="58"/>
        <v>1.9495798319327713</v>
      </c>
      <c r="B134">
        <f t="shared" si="43"/>
        <v>1.9495798319327713</v>
      </c>
      <c r="C134">
        <f t="shared" si="67"/>
        <v>7.7983193277310852</v>
      </c>
      <c r="D134">
        <f t="shared" si="68"/>
        <v>9.1017230421580244</v>
      </c>
      <c r="E134">
        <f t="shared" si="69"/>
        <v>4.6685562155896809</v>
      </c>
      <c r="F134">
        <f t="shared" si="60"/>
        <v>18.549330954487274</v>
      </c>
      <c r="G134">
        <f t="shared" si="70"/>
        <v>0</v>
      </c>
      <c r="H134">
        <f t="shared" si="62"/>
        <v>0</v>
      </c>
      <c r="I134">
        <f t="shared" si="71"/>
        <v>12.109205055551145</v>
      </c>
      <c r="J134">
        <f t="shared" si="72"/>
        <v>12.109205055551145</v>
      </c>
      <c r="K134">
        <f t="shared" si="73"/>
        <v>12.109205055551145</v>
      </c>
      <c r="L134">
        <f t="shared" ca="1" si="63"/>
        <v>1.5927235123219712</v>
      </c>
      <c r="M134">
        <f t="shared" ca="1" si="48"/>
        <v>6.5735363734064727</v>
      </c>
      <c r="N134">
        <f t="shared" si="49"/>
        <v>10.380110620619945</v>
      </c>
      <c r="O134">
        <f t="shared" ca="1" si="50"/>
        <v>5.8871604483634883</v>
      </c>
      <c r="P134">
        <f t="shared" ca="1" si="51"/>
        <v>93.249564279380337</v>
      </c>
      <c r="Q134">
        <f t="shared" ca="1" si="52"/>
        <v>71.371263922160026</v>
      </c>
      <c r="R134">
        <f t="shared" ca="1" si="53"/>
        <v>530.69668126883766</v>
      </c>
      <c r="S134">
        <f t="shared" ca="1" si="54"/>
        <v>623.94624554821803</v>
      </c>
      <c r="T134">
        <f t="shared" ca="1" si="64"/>
        <v>7.7007172520075988</v>
      </c>
      <c r="U134">
        <f t="shared" ca="1" si="65"/>
        <v>43.825889382024613</v>
      </c>
      <c r="V134">
        <f t="shared" ca="1" si="66"/>
        <v>51.526606634032213</v>
      </c>
      <c r="W134">
        <f t="shared" si="55"/>
        <v>2.3703554011293848</v>
      </c>
      <c r="X134">
        <f t="shared" ca="1" si="56"/>
        <v>1.5927235123219712</v>
      </c>
      <c r="Y134">
        <f t="shared" si="57"/>
        <v>1.9495798319327713</v>
      </c>
    </row>
    <row r="135" spans="1:25" x14ac:dyDescent="0.35">
      <c r="A135">
        <f t="shared" si="58"/>
        <v>1.9663865546218469</v>
      </c>
      <c r="B135">
        <f t="shared" si="43"/>
        <v>1.9663865546218469</v>
      </c>
      <c r="C135">
        <f t="shared" si="67"/>
        <v>7.8655462184873874</v>
      </c>
      <c r="D135">
        <f t="shared" si="68"/>
        <v>9.2333521643951553</v>
      </c>
      <c r="E135">
        <f t="shared" si="69"/>
        <v>4.6955936220642069</v>
      </c>
      <c r="F135">
        <f t="shared" si="60"/>
        <v>18.898527636533654</v>
      </c>
      <c r="G135">
        <f t="shared" si="70"/>
        <v>0</v>
      </c>
      <c r="H135">
        <f t="shared" si="62"/>
        <v>0</v>
      </c>
      <c r="I135">
        <f t="shared" si="71"/>
        <v>12.483513061193797</v>
      </c>
      <c r="J135">
        <f t="shared" si="72"/>
        <v>12.483513061193797</v>
      </c>
      <c r="K135">
        <f t="shared" si="73"/>
        <v>12.483513061193797</v>
      </c>
      <c r="L135">
        <f t="shared" ca="1" si="63"/>
        <v>1.6165697445470788</v>
      </c>
      <c r="M135">
        <f t="shared" ca="1" si="48"/>
        <v>6.7265954779700152</v>
      </c>
      <c r="N135">
        <f t="shared" si="49"/>
        <v>10.637839812148261</v>
      </c>
      <c r="O135">
        <f t="shared" ca="1" si="50"/>
        <v>6.132770744448603</v>
      </c>
      <c r="P135">
        <f t="shared" ca="1" si="51"/>
        <v>90.54441029673761</v>
      </c>
      <c r="Q135">
        <f t="shared" ca="1" si="52"/>
        <v>69.963362014953617</v>
      </c>
      <c r="R135">
        <f t="shared" ca="1" si="53"/>
        <v>531.07471079533559</v>
      </c>
      <c r="S135">
        <f t="shared" ca="1" si="54"/>
        <v>621.61912109207321</v>
      </c>
      <c r="T135">
        <f t="shared" ca="1" si="64"/>
        <v>7.2531193625457586</v>
      </c>
      <c r="U135">
        <f t="shared" ca="1" si="65"/>
        <v>42.542087967707786</v>
      </c>
      <c r="V135">
        <f t="shared" ca="1" si="66"/>
        <v>49.795207330253547</v>
      </c>
      <c r="W135">
        <f t="shared" si="55"/>
        <v>2.4436255290024196</v>
      </c>
      <c r="X135">
        <f t="shared" ca="1" si="56"/>
        <v>1.6165697445470788</v>
      </c>
      <c r="Y135">
        <f t="shared" si="57"/>
        <v>1.9663865546218469</v>
      </c>
    </row>
    <row r="136" spans="1:25" x14ac:dyDescent="0.35">
      <c r="A136">
        <f t="shared" si="58"/>
        <v>1.9831932773109224</v>
      </c>
      <c r="B136">
        <f t="shared" si="43"/>
        <v>1.9831932773109224</v>
      </c>
      <c r="C136">
        <f t="shared" si="67"/>
        <v>7.9327731092436897</v>
      </c>
      <c r="D136">
        <f t="shared" si="68"/>
        <v>9.3661111503424745</v>
      </c>
      <c r="E136">
        <f t="shared" si="69"/>
        <v>4.7227424868252355</v>
      </c>
      <c r="F136">
        <f t="shared" si="60"/>
        <v>19.25200430719482</v>
      </c>
      <c r="G136">
        <f t="shared" si="70"/>
        <v>0</v>
      </c>
      <c r="H136">
        <f t="shared" si="62"/>
        <v>0</v>
      </c>
      <c r="I136">
        <f t="shared" si="71"/>
        <v>12.865000795196893</v>
      </c>
      <c r="J136">
        <f t="shared" si="72"/>
        <v>12.865000795196893</v>
      </c>
      <c r="K136">
        <f t="shared" si="73"/>
        <v>12.865000795196893</v>
      </c>
      <c r="L136">
        <f t="shared" ca="1" si="63"/>
        <v>1.6403661783515582</v>
      </c>
      <c r="M136">
        <f t="shared" ca="1" si="48"/>
        <v>6.8816023981593926</v>
      </c>
      <c r="N136">
        <f t="shared" si="49"/>
        <v>10.900012501293121</v>
      </c>
      <c r="O136">
        <f t="shared" ca="1" si="50"/>
        <v>6.3851990395175342</v>
      </c>
      <c r="P136">
        <f ca="1">1/$B$4*(N136-O136-L136*(D136-M136))</f>
        <v>87.861866975205231</v>
      </c>
      <c r="Q136">
        <f t="shared" ca="1" si="52"/>
        <v>68.565419791872856</v>
      </c>
      <c r="R136">
        <f t="shared" ca="1" si="53"/>
        <v>531.17816144184656</v>
      </c>
      <c r="S136">
        <f t="shared" ca="1" si="54"/>
        <v>619.04002841705176</v>
      </c>
      <c r="T136">
        <f t="shared" ca="1" si="64"/>
        <v>6.8295267426651209</v>
      </c>
      <c r="U136">
        <f t="shared" ca="1" si="65"/>
        <v>41.288622511407866</v>
      </c>
      <c r="V136">
        <f t="shared" ca="1" si="66"/>
        <v>48.118149254072982</v>
      </c>
      <c r="W136">
        <f t="shared" si="55"/>
        <v>2.5183010759611619</v>
      </c>
      <c r="X136">
        <f t="shared" ca="1" si="56"/>
        <v>1.6403661783515582</v>
      </c>
      <c r="Y136">
        <f t="shared" si="57"/>
        <v>1.9831932773109224</v>
      </c>
    </row>
    <row r="137" spans="1:25" x14ac:dyDescent="0.35">
      <c r="A137">
        <f t="shared" si="58"/>
        <v>1.999999999999998</v>
      </c>
      <c r="B137">
        <f t="shared" si="43"/>
        <v>1.999999999999998</v>
      </c>
      <c r="C137">
        <f t="shared" si="67"/>
        <v>7.999999999999992</v>
      </c>
      <c r="D137">
        <f t="shared" ref="D137" si="74">MIN(B137,$B$5)^2/$Q$5+$B$6*MIN(B137,$B$5)+(B137&gt;$B$5)*((B137-$B$5)^2/$Q$6+$B$7*(B137-$B$5))</f>
        <v>9.499999999999984</v>
      </c>
      <c r="E137">
        <f t="shared" ref="E137" si="75">IFERROR(D137/B137,$B$6)</f>
        <v>4.7499999999999964</v>
      </c>
      <c r="F137">
        <f t="shared" si="60"/>
        <v>19.609780168601279</v>
      </c>
      <c r="G137">
        <f t="shared" ref="G137" si="76">IF(B137&lt;$B$10,F137,0)</f>
        <v>0</v>
      </c>
      <c r="H137">
        <f t="shared" si="62"/>
        <v>0</v>
      </c>
      <c r="I137">
        <f t="shared" ref="I137" si="77">IF(B137&gt;=$B$11,E137*($Q$14/$Q$13+2/3*SQRT(2*9.8)*(ABS(B137-$B$11))^(3/2)),0)</f>
        <v>13.253703886251227</v>
      </c>
      <c r="J137">
        <f t="shared" ref="J137" si="78">SUM(G137:I137)</f>
        <v>13.253703886251227</v>
      </c>
      <c r="K137">
        <f t="shared" ref="K137" si="79">MIN(J137,F137)</f>
        <v>13.253703886251227</v>
      </c>
      <c r="L137">
        <f t="shared" ca="1" si="63"/>
        <v>1.6641643171226757</v>
      </c>
      <c r="M137">
        <f t="shared" ca="1" si="48"/>
        <v>7.0388857487687631</v>
      </c>
      <c r="N137">
        <f t="shared" ref="N137" si="80">2*MIN(B137,$B$5)^3/(3*$Q$5)+$B$6*MIN(B137,$B$5)^2/2+(B137&gt;$B$5)*(2*B137^3/(3*$Q$6)-B137^2*$B$5/$Q$6+$B$7*B137^2/2-(2*$B$5^3/(3*$Q$6)-$B$5^2*$B$5/$Q$6+$B$7*$B$5^2/2))</f>
        <v>11.166666666666634</v>
      </c>
      <c r="O137">
        <f t="shared" ref="O137" ca="1" si="81">2*MIN(L137,$B$5)^3/(3*$Q$5)+$B$6*MIN(L137,$B$5)^2/2+(L137&gt;$B$5)*(2*L137^3/(3*$Q$6)-L137^2*$B$5/$Q$6+$B$7*L137^2/2-(2*$B$5^3/(3*$Q$6)-$B$5^2*$B$5/$Q$6+$B$7*$B$5^2/2))</f>
        <v>6.6450773464801927</v>
      </c>
      <c r="P137">
        <f ca="1">1/$B$4*(N137-O137-L137*(D137-M137))</f>
        <v>85.178160585070202</v>
      </c>
      <c r="Q137">
        <f t="shared" ref="Q137" ca="1" si="82">MAX((B137-L137)/$B$4,0)</f>
        <v>67.167136575464468</v>
      </c>
      <c r="R137">
        <f t="shared" ca="1" si="53"/>
        <v>530.94147186791781</v>
      </c>
      <c r="S137">
        <f t="shared" ref="S137" ca="1" si="83">SUM(P137,R137)</f>
        <v>616.11963245298807</v>
      </c>
      <c r="T137">
        <f t="shared" ca="1" si="64"/>
        <v>6.4267438986191658</v>
      </c>
      <c r="U137">
        <f t="shared" ca="1" si="65"/>
        <v>40.059856205078766</v>
      </c>
      <c r="V137">
        <f t="shared" ca="1" si="66"/>
        <v>46.486600103697938</v>
      </c>
      <c r="W137">
        <f>K137/$Q$8</f>
        <v>2.5943890162586092</v>
      </c>
      <c r="X137">
        <f t="shared" ref="X137" ca="1" si="84">L137/$B$5</f>
        <v>1.6641643171226757</v>
      </c>
      <c r="Y137">
        <f t="shared" si="57"/>
        <v>1.999999999999998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BB6550-4A9E-BC45-BE93-0C329B8A3BC9}">
  <sheetPr codeName="Sheet4"/>
  <dimension ref="A1"/>
  <sheetViews>
    <sheetView showGridLines="0" zoomScaleNormal="100" workbookViewId="0"/>
  </sheetViews>
  <sheetFormatPr defaultColWidth="10.6640625" defaultRowHeight="15.5" x14ac:dyDescent="0.35"/>
  <sheetData/>
  <pageMargins left="0.7" right="0.7" top="0.75" bottom="0.75" header="0.3" footer="0.3"/>
  <pageSetup paperSize="9" orientation="portrait" horizontalDpi="0" verticalDpi="0"/>
  <drawing r:id="rId1"/>
</worksheet>
</file>

<file path=docMetadata/LabelInfo.xml><?xml version="1.0" encoding="utf-8"?>
<clbl:labelList xmlns:clbl="http://schemas.microsoft.com/office/2020/mipLabelMetadata">
  <clbl:label id="{bdb74b30-9568-4856-bdbf-06759778fcbc}" enabled="0" method="" siteId="{bdb74b30-9568-4856-bdbf-06759778fcbc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Input</vt:lpstr>
      <vt:lpstr>Output</vt:lpstr>
      <vt:lpstr>Calculations</vt:lpstr>
      <vt:lpstr>Description of calculations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Alex Scott</cp:lastModifiedBy>
  <dcterms:created xsi:type="dcterms:W3CDTF">2022-04-08T16:39:03Z</dcterms:created>
  <dcterms:modified xsi:type="dcterms:W3CDTF">2023-04-04T15:11:35Z</dcterms:modified>
</cp:coreProperties>
</file>